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With Mistakes" sheetId="1" r:id="rId1"/>
    <sheet name="Without Mistakes" sheetId="2" r:id="rId2"/>
  </sheets>
  <externalReferences>
    <externalReference r:id="rId3"/>
    <externalReference r:id="rId4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35" i="2"/>
  <c r="A80" i="2"/>
  <c r="C58" i="2"/>
  <c r="C57" i="2"/>
  <c r="C55" i="2"/>
  <c r="C54" i="2"/>
  <c r="C53" i="2"/>
  <c r="C40" i="2"/>
  <c r="C39" i="2"/>
  <c r="C42" i="2" s="1"/>
  <c r="C30" i="2"/>
  <c r="C32" i="2" s="1"/>
  <c r="C34" i="2" s="1"/>
  <c r="C23" i="2"/>
  <c r="C56" i="2" s="1"/>
  <c r="C46" i="2" l="1"/>
  <c r="C59" i="2"/>
  <c r="C84" i="2"/>
  <c r="C47" i="2"/>
  <c r="C60" i="2" s="1"/>
  <c r="C49" i="2"/>
  <c r="A81" i="1" l="1"/>
  <c r="B58" i="1"/>
  <c r="B60" i="1" s="1"/>
  <c r="B56" i="1"/>
  <c r="B55" i="1"/>
  <c r="B54" i="1"/>
  <c r="B41" i="1"/>
  <c r="B40" i="1"/>
  <c r="B33" i="1"/>
  <c r="B35" i="1" s="1"/>
  <c r="B31" i="1"/>
  <c r="B23" i="1"/>
  <c r="B57" i="1" s="1"/>
  <c r="G12" i="1"/>
  <c r="F12" i="1"/>
  <c r="F66" i="1" s="1"/>
  <c r="B47" i="1" l="1"/>
  <c r="B43" i="1"/>
  <c r="B50" i="1"/>
  <c r="B85" i="1"/>
  <c r="B48" i="1"/>
  <c r="B61" i="1" s="1"/>
  <c r="G66" i="1"/>
  <c r="E67" i="1" l="1"/>
  <c r="B82" i="1" s="1"/>
  <c r="G14" i="1"/>
  <c r="G73" i="1" s="1"/>
  <c r="E74" i="1" s="1"/>
  <c r="B83" i="1" s="1"/>
  <c r="B84" i="1" l="1"/>
  <c r="B86" i="1" s="1"/>
  <c r="B87" i="1" s="1"/>
  <c r="D94" i="1" s="1"/>
  <c r="G12" i="2"/>
  <c r="H12" i="2"/>
  <c r="I12" i="2"/>
  <c r="J12" i="2"/>
  <c r="K12" i="2"/>
  <c r="K14" i="2" s="1"/>
  <c r="K72" i="2" s="1"/>
  <c r="F73" i="2" s="1"/>
  <c r="C82" i="2" s="1"/>
  <c r="G65" i="2"/>
  <c r="H65" i="2"/>
  <c r="I65" i="2"/>
  <c r="J65" i="2"/>
  <c r="K65" i="2"/>
  <c r="F66" i="2"/>
  <c r="C81" i="2" s="1"/>
  <c r="C83" i="2" l="1"/>
  <c r="C85" i="2" s="1"/>
  <c r="C86" i="2" s="1"/>
  <c r="E93" i="2" s="1"/>
</calcChain>
</file>

<file path=xl/sharedStrings.xml><?xml version="1.0" encoding="utf-8"?>
<sst xmlns="http://schemas.openxmlformats.org/spreadsheetml/2006/main" count="146" uniqueCount="73">
  <si>
    <t>DCF Valuation</t>
  </si>
  <si>
    <t>(All data is Millions INR, except per share information, A - Actual, E - Estimated)</t>
  </si>
  <si>
    <r>
      <t>(</t>
    </r>
    <r>
      <rPr>
        <b/>
        <sz val="11"/>
        <color theme="3" tint="0.39997558519241921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for actual data, </t>
    </r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for calculations, </t>
    </r>
    <r>
      <rPr>
        <b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for Linkage)</t>
    </r>
  </si>
  <si>
    <t>Particular</t>
  </si>
  <si>
    <t>2011 A</t>
  </si>
  <si>
    <t>2012 A</t>
  </si>
  <si>
    <t>2013 E</t>
  </si>
  <si>
    <t>2016 E</t>
  </si>
  <si>
    <t>2017 E</t>
  </si>
  <si>
    <t>2018 E</t>
  </si>
  <si>
    <t>2019 E</t>
  </si>
  <si>
    <t>2020 E</t>
  </si>
  <si>
    <t>All numbers are in Rs. Million except per share data</t>
  </si>
  <si>
    <t>Free Cash Flow Calculations</t>
  </si>
  <si>
    <t>Net Income</t>
  </si>
  <si>
    <t>Add:Depreciation</t>
  </si>
  <si>
    <t>Add: Interest x (1-tax rate)</t>
  </si>
  <si>
    <t>Changes in working Capital</t>
  </si>
  <si>
    <t>Less:Capex</t>
  </si>
  <si>
    <t>Free Cash Flow to the Firm(FCFF)</t>
  </si>
  <si>
    <t>Terminal Value</t>
  </si>
  <si>
    <t>WACC Inputs</t>
  </si>
  <si>
    <t>Cost of Equity Calculations</t>
  </si>
  <si>
    <t>Risk Free Rate</t>
  </si>
  <si>
    <t>Beta</t>
  </si>
  <si>
    <t>Equity Risk Premium</t>
  </si>
  <si>
    <t>Cost of equity</t>
  </si>
  <si>
    <t xml:space="preserve"> Growth Rate</t>
  </si>
  <si>
    <t>Market Value of Equity</t>
  </si>
  <si>
    <t>Current Stock Price</t>
  </si>
  <si>
    <t>Current shares outstanding</t>
  </si>
  <si>
    <t>Options/Warrants Converts</t>
  </si>
  <si>
    <t>Fully converted shares</t>
  </si>
  <si>
    <t>Fully converted equity value</t>
  </si>
  <si>
    <t>Calculating Book value of Debt</t>
  </si>
  <si>
    <t>Debt</t>
  </si>
  <si>
    <t>Short-Term Debt</t>
  </si>
  <si>
    <t>Straight Long-Term Debt</t>
  </si>
  <si>
    <t>Convertible Debt (out of money)</t>
  </si>
  <si>
    <t>Value of Debt</t>
  </si>
  <si>
    <t>Calculating Debt to Equity ratios</t>
  </si>
  <si>
    <t>Proporiton of Equity in the Capital Strucuture</t>
  </si>
  <si>
    <t>Proporiton of Debt in the Capital Strucuture</t>
  </si>
  <si>
    <t>Debt to equity ratio</t>
  </si>
  <si>
    <t>WACC Calculations</t>
  </si>
  <si>
    <t>Risk Free rate</t>
  </si>
  <si>
    <t>Market risk premium</t>
  </si>
  <si>
    <t>Levered beta of company</t>
  </si>
  <si>
    <t>Pre-tax cost of debt</t>
  </si>
  <si>
    <t>Tax rate</t>
  </si>
  <si>
    <t>After tax cost of debt</t>
  </si>
  <si>
    <t>WACC</t>
  </si>
  <si>
    <t>Free cash flow to firm of explicit period 2014E &amp; to 2018E</t>
  </si>
  <si>
    <t>Cash Flows</t>
  </si>
  <si>
    <t>NPV of explicit period</t>
  </si>
  <si>
    <t>XNPV</t>
  </si>
  <si>
    <t>Terminal Value  @ perpetual growth rate @ 2017E</t>
  </si>
  <si>
    <t>DCF Valuation Summary</t>
  </si>
  <si>
    <t xml:space="preserve">Enterprise value </t>
  </si>
  <si>
    <t>XNPV of explicit period</t>
  </si>
  <si>
    <t>XNPV of terminal value</t>
  </si>
  <si>
    <t>Enterprise Value</t>
  </si>
  <si>
    <t>Net Debt</t>
  </si>
  <si>
    <t>Equity value</t>
  </si>
  <si>
    <t>Senstivity Analysis - Share Price vs WACC/Growth Rates</t>
  </si>
  <si>
    <t>Growth Rates</t>
  </si>
  <si>
    <t>&lt;&lt; use DATA Tables to do sensitivity Analysis</t>
  </si>
  <si>
    <t>2014 E</t>
  </si>
  <si>
    <t>2015 E</t>
  </si>
  <si>
    <t>Cost of Equity &amp; Cost of Debt</t>
  </si>
  <si>
    <t>Terminal Growth Rate</t>
  </si>
  <si>
    <t>NPV of terminal value</t>
  </si>
  <si>
    <t>Intrinsic Share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</si>
</sst>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#,##0;\(#,##0\);\-;@"/>
    <numFmt numFmtId="165" formatCode="_ * #,##0_ ;_ * \-#,##0_ ;_ * &quot;-&quot;??_ ;_ @_ "/>
    <numFmt numFmtId="166" formatCode="#,##0.00;\(#,##0.00\);\-;@"/>
    <numFmt numFmtId="167" formatCode="0.0%"/>
    <numFmt numFmtId="168" formatCode="_ * #,##0.0_ ;_ * \-#,##0.0_ ;_ * &quot;-&quot;_ ;_ @_ "/>
    <numFmt numFmtId="169" formatCode="_ * #,##0_ ;_ * \-#,##0_ ;_ * &quot;-&quot;_ ;_ @_ "/>
    <numFmt numFmtId="170" formatCode="[$-409]d\-mmm\-yy;@"/>
    <numFmt numFmtId="171" formatCode="[$-409]mmm\-yy;@"/>
    <numFmt numFmtId="172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3B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2" borderId="0" xfId="0" applyFont="1" applyFill="1"/>
    <xf numFmtId="0" fontId="0" fillId="2" borderId="0" xfId="0" applyFont="1" applyFill="1"/>
    <xf numFmtId="0" fontId="0" fillId="3" borderId="0" xfId="0" applyFont="1" applyFill="1"/>
    <xf numFmtId="0" fontId="2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164" fontId="7" fillId="5" borderId="0" xfId="0" applyNumberFormat="1" applyFont="1" applyFill="1" applyAlignment="1"/>
    <xf numFmtId="164" fontId="8" fillId="6" borderId="0" xfId="0" applyNumberFormat="1" applyFont="1" applyFill="1" applyAlignment="1"/>
    <xf numFmtId="164" fontId="9" fillId="0" borderId="0" xfId="0" applyNumberFormat="1" applyFont="1" applyAlignment="1">
      <alignment horizontal="left" vertical="center" indent="2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left" vertical="center" indent="2"/>
    </xf>
    <xf numFmtId="0" fontId="0" fillId="0" borderId="0" xfId="0" applyFont="1" applyFill="1" applyBorder="1"/>
    <xf numFmtId="164" fontId="11" fillId="0" borderId="3" xfId="0" applyNumberFormat="1" applyFont="1" applyBorder="1" applyAlignment="1">
      <alignment horizontal="left" indent="2"/>
    </xf>
    <xf numFmtId="0" fontId="0" fillId="2" borderId="3" xfId="0" applyFont="1" applyFill="1" applyBorder="1"/>
    <xf numFmtId="164" fontId="3" fillId="2" borderId="3" xfId="0" applyNumberFormat="1" applyFont="1" applyFill="1" applyBorder="1"/>
    <xf numFmtId="164" fontId="9" fillId="0" borderId="0" xfId="0" applyNumberFormat="1" applyFont="1" applyBorder="1" applyAlignment="1">
      <alignment horizontal="left" vertical="center" indent="2"/>
    </xf>
    <xf numFmtId="164" fontId="11" fillId="0" borderId="4" xfId="0" applyNumberFormat="1" applyFont="1" applyFill="1" applyBorder="1" applyAlignment="1">
      <alignment horizontal="left" vertical="center" indent="2"/>
    </xf>
    <xf numFmtId="0" fontId="0" fillId="2" borderId="4" xfId="0" applyFont="1" applyFill="1" applyBorder="1"/>
    <xf numFmtId="165" fontId="3" fillId="8" borderId="4" xfId="1" applyNumberFormat="1" applyFont="1" applyFill="1" applyBorder="1"/>
    <xf numFmtId="164" fontId="8" fillId="6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11" fillId="0" borderId="5" xfId="0" applyNumberFormat="1" applyFont="1" applyBorder="1" applyAlignment="1">
      <alignment horizontal="left" vertical="center" indent="3"/>
    </xf>
    <xf numFmtId="10" fontId="9" fillId="0" borderId="6" xfId="2" applyNumberFormat="1" applyFont="1" applyBorder="1" applyAlignment="1">
      <alignment vertical="center"/>
    </xf>
    <xf numFmtId="10" fontId="0" fillId="2" borderId="0" xfId="2" applyNumberFormat="1" applyFont="1" applyFill="1"/>
    <xf numFmtId="164" fontId="11" fillId="2" borderId="5" xfId="0" applyNumberFormat="1" applyFont="1" applyFill="1" applyBorder="1" applyAlignment="1">
      <alignment horizontal="left" indent="3"/>
    </xf>
    <xf numFmtId="167" fontId="9" fillId="0" borderId="6" xfId="2" applyNumberFormat="1" applyFont="1" applyBorder="1" applyAlignment="1">
      <alignment vertical="center"/>
    </xf>
    <xf numFmtId="164" fontId="11" fillId="2" borderId="0" xfId="0" applyNumberFormat="1" applyFont="1" applyFill="1" applyAlignment="1">
      <alignment horizontal="left" indent="3"/>
    </xf>
    <xf numFmtId="167" fontId="9" fillId="0" borderId="0" xfId="2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/>
    <xf numFmtId="0" fontId="9" fillId="0" borderId="6" xfId="0" applyFont="1" applyBorder="1" applyAlignment="1">
      <alignment horizontal="left" indent="3"/>
    </xf>
    <xf numFmtId="168" fontId="9" fillId="0" borderId="6" xfId="1" applyNumberFormat="1" applyFont="1" applyBorder="1"/>
    <xf numFmtId="169" fontId="9" fillId="0" borderId="6" xfId="1" applyNumberFormat="1" applyFont="1" applyBorder="1"/>
    <xf numFmtId="169" fontId="11" fillId="0" borderId="6" xfId="1" applyNumberFormat="1" applyFont="1" applyBorder="1"/>
    <xf numFmtId="169" fontId="10" fillId="0" borderId="6" xfId="1" applyNumberFormat="1" applyFont="1" applyBorder="1"/>
    <xf numFmtId="9" fontId="9" fillId="0" borderId="6" xfId="2" applyNumberFormat="1" applyFont="1" applyBorder="1"/>
    <xf numFmtId="0" fontId="9" fillId="0" borderId="0" xfId="0" applyFont="1" applyBorder="1" applyAlignment="1">
      <alignment horizontal="left" indent="3"/>
    </xf>
    <xf numFmtId="0" fontId="9" fillId="9" borderId="7" xfId="0" applyFont="1" applyFill="1" applyBorder="1" applyAlignment="1">
      <alignment horizontal="left" indent="3"/>
    </xf>
    <xf numFmtId="2" fontId="8" fillId="6" borderId="0" xfId="2" applyNumberFormat="1" applyFont="1" applyFill="1" applyAlignment="1">
      <alignment vertical="center"/>
    </xf>
    <xf numFmtId="2" fontId="8" fillId="6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/>
    </xf>
    <xf numFmtId="2" fontId="9" fillId="7" borderId="6" xfId="0" applyNumberFormat="1" applyFont="1" applyFill="1" applyBorder="1" applyAlignment="1">
      <alignment horizontal="left" indent="3"/>
    </xf>
    <xf numFmtId="10" fontId="10" fillId="7" borderId="6" xfId="0" applyNumberFormat="1" applyFont="1" applyFill="1" applyBorder="1" applyAlignment="1"/>
    <xf numFmtId="2" fontId="10" fillId="7" borderId="6" xfId="0" applyNumberFormat="1" applyFont="1" applyFill="1" applyBorder="1" applyAlignment="1">
      <alignment horizontal="right"/>
    </xf>
    <xf numFmtId="9" fontId="10" fillId="7" borderId="6" xfId="0" applyNumberFormat="1" applyFont="1" applyFill="1" applyBorder="1" applyAlignment="1"/>
    <xf numFmtId="10" fontId="9" fillId="7" borderId="6" xfId="0" applyNumberFormat="1" applyFont="1" applyFill="1" applyBorder="1" applyAlignment="1"/>
    <xf numFmtId="167" fontId="9" fillId="10" borderId="6" xfId="2" applyNumberFormat="1" applyFont="1" applyFill="1" applyBorder="1" applyAlignment="1"/>
    <xf numFmtId="0" fontId="8" fillId="6" borderId="0" xfId="0" applyFont="1" applyFill="1" applyBorder="1" applyAlignment="1"/>
    <xf numFmtId="170" fontId="3" fillId="2" borderId="0" xfId="0" applyNumberFormat="1" applyFont="1" applyFill="1"/>
    <xf numFmtId="164" fontId="0" fillId="2" borderId="0" xfId="0" applyNumberFormat="1" applyFont="1" applyFill="1"/>
    <xf numFmtId="0" fontId="9" fillId="9" borderId="3" xfId="0" applyFont="1" applyFill="1" applyBorder="1" applyAlignment="1">
      <alignment horizontal="left" indent="3"/>
    </xf>
    <xf numFmtId="165" fontId="11" fillId="10" borderId="3" xfId="1" applyNumberFormat="1" applyFont="1" applyFill="1" applyBorder="1" applyAlignment="1">
      <alignment horizontal="left" indent="3"/>
    </xf>
    <xf numFmtId="165" fontId="0" fillId="2" borderId="0" xfId="0" applyNumberFormat="1" applyFont="1" applyFill="1"/>
    <xf numFmtId="165" fontId="10" fillId="2" borderId="0" xfId="0" applyNumberFormat="1" applyFont="1" applyFill="1"/>
    <xf numFmtId="0" fontId="11" fillId="0" borderId="8" xfId="0" applyFont="1" applyBorder="1" applyAlignment="1">
      <alignment horizontal="left" indent="3"/>
    </xf>
    <xf numFmtId="0" fontId="11" fillId="0" borderId="0" xfId="0" applyFont="1" applyBorder="1" applyAlignment="1">
      <alignment horizontal="left" indent="3"/>
    </xf>
    <xf numFmtId="171" fontId="9" fillId="0" borderId="0" xfId="0" applyNumberFormat="1" applyFont="1" applyBorder="1" applyAlignment="1">
      <alignment horizontal="left" indent="3"/>
    </xf>
    <xf numFmtId="0" fontId="0" fillId="2" borderId="0" xfId="0" applyFont="1" applyFill="1" applyBorder="1"/>
    <xf numFmtId="0" fontId="0" fillId="3" borderId="0" xfId="0" applyFont="1" applyFill="1" applyBorder="1"/>
    <xf numFmtId="0" fontId="9" fillId="0" borderId="3" xfId="0" applyFont="1" applyBorder="1" applyAlignment="1">
      <alignment horizontal="left" indent="3"/>
    </xf>
    <xf numFmtId="0" fontId="9" fillId="0" borderId="8" xfId="0" applyFont="1" applyBorder="1" applyAlignment="1">
      <alignment horizontal="left" indent="3"/>
    </xf>
    <xf numFmtId="166" fontId="9" fillId="0" borderId="0" xfId="0" applyNumberFormat="1" applyFont="1" applyAlignment="1">
      <alignment vertical="center"/>
    </xf>
    <xf numFmtId="164" fontId="8" fillId="6" borderId="8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vertical="center"/>
    </xf>
    <xf numFmtId="0" fontId="9" fillId="3" borderId="0" xfId="0" applyFont="1" applyFill="1" applyAlignment="1">
      <alignment vertical="center"/>
    </xf>
    <xf numFmtId="165" fontId="9" fillId="10" borderId="9" xfId="1" applyNumberFormat="1" applyFont="1" applyFill="1" applyBorder="1" applyAlignment="1">
      <alignment vertical="center"/>
    </xf>
    <xf numFmtId="9" fontId="9" fillId="0" borderId="10" xfId="2" applyFont="1" applyFill="1" applyBorder="1" applyAlignment="1">
      <alignment vertical="center"/>
    </xf>
    <xf numFmtId="167" fontId="9" fillId="0" borderId="10" xfId="2" applyNumberFormat="1" applyFont="1" applyFill="1" applyBorder="1" applyAlignment="1">
      <alignment vertical="center"/>
    </xf>
    <xf numFmtId="167" fontId="9" fillId="0" borderId="11" xfId="2" applyNumberFormat="1" applyFont="1" applyFill="1" applyBorder="1" applyAlignment="1">
      <alignment vertical="center"/>
    </xf>
    <xf numFmtId="10" fontId="9" fillId="0" borderId="0" xfId="0" applyNumberFormat="1" applyFont="1" applyBorder="1" applyAlignment="1">
      <alignment vertical="center"/>
    </xf>
    <xf numFmtId="167" fontId="9" fillId="0" borderId="12" xfId="2" applyNumberFormat="1" applyFont="1" applyFill="1" applyBorder="1" applyAlignment="1">
      <alignment vertical="center"/>
    </xf>
    <xf numFmtId="1" fontId="9" fillId="0" borderId="6" xfId="1" applyNumberFormat="1" applyFont="1" applyFill="1" applyBorder="1" applyAlignment="1">
      <alignment vertical="center"/>
    </xf>
    <xf numFmtId="1" fontId="9" fillId="0" borderId="13" xfId="1" applyNumberFormat="1" applyFont="1" applyFill="1" applyBorder="1" applyAlignment="1">
      <alignment vertical="center"/>
    </xf>
    <xf numFmtId="172" fontId="9" fillId="0" borderId="0" xfId="1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vertical="center"/>
    </xf>
    <xf numFmtId="167" fontId="9" fillId="0" borderId="14" xfId="2" applyNumberFormat="1" applyFont="1" applyFill="1" applyBorder="1" applyAlignment="1">
      <alignment vertical="center"/>
    </xf>
    <xf numFmtId="1" fontId="9" fillId="0" borderId="15" xfId="1" applyNumberFormat="1" applyFont="1" applyFill="1" applyBorder="1" applyAlignment="1">
      <alignment vertical="center"/>
    </xf>
    <xf numFmtId="1" fontId="9" fillId="0" borderId="16" xfId="1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64" fontId="11" fillId="0" borderId="0" xfId="0" applyNumberFormat="1" applyFont="1" applyAlignment="1">
      <alignment horizontal="left" vertical="center" indent="3"/>
    </xf>
    <xf numFmtId="164" fontId="9" fillId="0" borderId="17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65" fontId="9" fillId="10" borderId="3" xfId="1" applyNumberFormat="1" applyFont="1" applyFill="1" applyBorder="1" applyAlignment="1">
      <alignment horizontal="left" indent="3"/>
    </xf>
    <xf numFmtId="166" fontId="9" fillId="11" borderId="6" xfId="0" applyNumberFormat="1" applyFont="1" applyFill="1" applyBorder="1" applyAlignment="1">
      <alignment vertical="center"/>
    </xf>
    <xf numFmtId="9" fontId="9" fillId="11" borderId="6" xfId="2" applyFont="1" applyFill="1" applyBorder="1" applyAlignment="1">
      <alignment vertical="center"/>
    </xf>
    <xf numFmtId="167" fontId="9" fillId="11" borderId="6" xfId="2" applyNumberFormat="1" applyFont="1" applyFill="1" applyBorder="1" applyAlignment="1">
      <alignment vertical="center"/>
    </xf>
    <xf numFmtId="164" fontId="10" fillId="11" borderId="1" xfId="0" applyNumberFormat="1" applyFont="1" applyFill="1" applyBorder="1" applyAlignment="1">
      <alignment vertical="center"/>
    </xf>
    <xf numFmtId="164" fontId="10" fillId="11" borderId="0" xfId="0" applyNumberFormat="1" applyFont="1" applyFill="1" applyBorder="1" applyAlignment="1">
      <alignment vertical="center"/>
    </xf>
    <xf numFmtId="164" fontId="10" fillId="11" borderId="2" xfId="0" applyNumberFormat="1" applyFont="1" applyFill="1" applyBorder="1"/>
    <xf numFmtId="164" fontId="3" fillId="11" borderId="3" xfId="0" applyNumberFormat="1" applyFont="1" applyFill="1" applyBorder="1"/>
    <xf numFmtId="164" fontId="6" fillId="7" borderId="1" xfId="0" applyNumberFormat="1" applyFont="1" applyFill="1" applyBorder="1" applyAlignment="1">
      <alignment vertical="center"/>
    </xf>
    <xf numFmtId="164" fontId="6" fillId="7" borderId="0" xfId="0" applyNumberFormat="1" applyFont="1" applyFill="1" applyBorder="1" applyAlignment="1">
      <alignment vertical="center"/>
    </xf>
    <xf numFmtId="164" fontId="6" fillId="2" borderId="2" xfId="0" applyNumberFormat="1" applyFont="1" applyFill="1" applyBorder="1"/>
    <xf numFmtId="164" fontId="6" fillId="11" borderId="1" xfId="0" applyNumberFormat="1" applyFont="1" applyFill="1" applyBorder="1" applyAlignment="1">
      <alignment vertical="center"/>
    </xf>
    <xf numFmtId="164" fontId="6" fillId="11" borderId="0" xfId="0" applyNumberFormat="1" applyFont="1" applyFill="1" applyBorder="1" applyAlignment="1">
      <alignment vertical="center"/>
    </xf>
    <xf numFmtId="164" fontId="6" fillId="11" borderId="2" xfId="0" applyNumberFormat="1" applyFont="1" applyFill="1" applyBorder="1"/>
    <xf numFmtId="171" fontId="9" fillId="0" borderId="18" xfId="0" applyNumberFormat="1" applyFont="1" applyBorder="1" applyAlignment="1">
      <alignment horizontal="left" indent="3"/>
    </xf>
    <xf numFmtId="0" fontId="0" fillId="0" borderId="19" xfId="0" applyFont="1" applyFill="1" applyBorder="1"/>
    <xf numFmtId="0" fontId="9" fillId="0" borderId="20" xfId="0" applyFont="1" applyBorder="1" applyAlignment="1">
      <alignment horizontal="left" indent="3"/>
    </xf>
    <xf numFmtId="1" fontId="10" fillId="0" borderId="21" xfId="0" applyNumberFormat="1" applyFont="1" applyBorder="1" applyAlignment="1"/>
    <xf numFmtId="1" fontId="10" fillId="0" borderId="21" xfId="0" applyNumberFormat="1" applyFont="1" applyBorder="1" applyAlignment="1">
      <alignment vertical="top"/>
    </xf>
    <xf numFmtId="0" fontId="9" fillId="0" borderId="22" xfId="0" applyFont="1" applyBorder="1" applyAlignment="1">
      <alignment horizontal="left" indent="3"/>
    </xf>
    <xf numFmtId="1" fontId="11" fillId="0" borderId="23" xfId="0" applyNumberFormat="1" applyFont="1" applyBorder="1" applyAlignment="1"/>
    <xf numFmtId="1" fontId="9" fillId="0" borderId="21" xfId="0" applyNumberFormat="1" applyFont="1" applyBorder="1" applyAlignment="1"/>
    <xf numFmtId="0" fontId="9" fillId="0" borderId="24" xfId="0" applyFont="1" applyBorder="1" applyAlignment="1">
      <alignment horizontal="left" indent="3"/>
    </xf>
    <xf numFmtId="1" fontId="11" fillId="10" borderId="25" xfId="0" applyNumberFormat="1" applyFont="1" applyFill="1" applyBorder="1" applyAlignment="1"/>
    <xf numFmtId="171" fontId="9" fillId="0" borderId="26" xfId="0" applyNumberFormat="1" applyFont="1" applyBorder="1" applyAlignment="1">
      <alignment horizontal="left" indent="3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3B"/>
      <color rgb="FFA3E7FF"/>
      <color rgb="FF5BD4FF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193861</xdr:colOff>
      <xdr:row>66</xdr:row>
      <xdr:rowOff>179293</xdr:rowOff>
    </xdr:from>
    <xdr:to>
      <xdr:col>13</xdr:col>
      <xdr:colOff>114861</xdr:colOff>
      <xdr:row>68</xdr:row>
      <xdr:rowOff>64994</xdr:rowOff>
    </xdr:to>
    <xdr:sp macro="" textlink="">
      <xdr:nvSpPr>
        <xdr:cNvPr id="4" name="TextBox 3"/>
        <xdr:cNvSpPr txBox="1"/>
      </xdr:nvSpPr>
      <xdr:spPr>
        <a:xfrm>
          <a:off x="10214161" y="15076393"/>
          <a:ext cx="2359400" cy="285751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&lt;&lt; use XNPV instead of NPV</a:t>
          </a:r>
        </a:p>
      </xdr:txBody>
    </xdr:sp>
    <xdr:clientData/>
  </xdr:twoCellAnchor>
  <xdr:twoCellAnchor>
    <xdr:from>
      <xdr:col>9</xdr:col>
      <xdr:colOff>0</xdr:colOff>
      <xdr:row>66</xdr:row>
      <xdr:rowOff>76200</xdr:rowOff>
    </xdr:from>
    <xdr:to>
      <xdr:col>9</xdr:col>
      <xdr:colOff>619686</xdr:colOff>
      <xdr:row>66</xdr:row>
      <xdr:rowOff>168088</xdr:rowOff>
    </xdr:to>
    <xdr:cxnSp macro="">
      <xdr:nvCxnSpPr>
        <xdr:cNvPr id="5" name="Straight Arrow Connector 4"/>
        <xdr:cNvCxnSpPr/>
      </xdr:nvCxnSpPr>
      <xdr:spPr>
        <a:xfrm rot="10800000">
          <a:off x="10020300" y="14973300"/>
          <a:ext cx="619686" cy="91888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358588</xdr:colOff>
      <xdr:row>46</xdr:row>
      <xdr:rowOff>35859</xdr:rowOff>
    </xdr:from>
    <xdr:to>
      <xdr:col>7</xdr:col>
      <xdr:colOff>459441</xdr:colOff>
      <xdr:row>47</xdr:row>
      <xdr:rowOff>170330</xdr:rowOff>
    </xdr:to>
    <xdr:sp macro="" textlink="">
      <xdr:nvSpPr>
        <xdr:cNvPr id="6" name="TextBox 5"/>
        <xdr:cNvSpPr txBox="1"/>
      </xdr:nvSpPr>
      <xdr:spPr>
        <a:xfrm>
          <a:off x="4101913" y="11103909"/>
          <a:ext cx="4463303" cy="324971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&lt;&lt;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Proportions are calculated using Market Weights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0</xdr:colOff>
      <xdr:row>45</xdr:row>
      <xdr:rowOff>95250</xdr:rowOff>
    </xdr:from>
    <xdr:to>
      <xdr:col>2</xdr:col>
      <xdr:colOff>268942</xdr:colOff>
      <xdr:row>48</xdr:row>
      <xdr:rowOff>95250</xdr:rowOff>
    </xdr:to>
    <xdr:sp macro="" textlink="">
      <xdr:nvSpPr>
        <xdr:cNvPr id="7" name="Right Brace 6"/>
        <xdr:cNvSpPr/>
      </xdr:nvSpPr>
      <xdr:spPr>
        <a:xfrm>
          <a:off x="3743325" y="10972800"/>
          <a:ext cx="268942" cy="571500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330573</xdr:colOff>
      <xdr:row>55</xdr:row>
      <xdr:rowOff>107861</xdr:rowOff>
    </xdr:from>
    <xdr:to>
      <xdr:col>7</xdr:col>
      <xdr:colOff>431426</xdr:colOff>
      <xdr:row>58</xdr:row>
      <xdr:rowOff>83484</xdr:rowOff>
    </xdr:to>
    <xdr:sp macro="" textlink="">
      <xdr:nvSpPr>
        <xdr:cNvPr id="8" name="TextBox 7"/>
        <xdr:cNvSpPr txBox="1"/>
      </xdr:nvSpPr>
      <xdr:spPr>
        <a:xfrm>
          <a:off x="4073898" y="12909461"/>
          <a:ext cx="4463303" cy="547123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&lt;&lt;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WACC should be used as discount rate for calculating present value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67235</xdr:colOff>
      <xdr:row>53</xdr:row>
      <xdr:rowOff>38100</xdr:rowOff>
    </xdr:from>
    <xdr:to>
      <xdr:col>2</xdr:col>
      <xdr:colOff>330014</xdr:colOff>
      <xdr:row>60</xdr:row>
      <xdr:rowOff>152400</xdr:rowOff>
    </xdr:to>
    <xdr:sp macro="" textlink="">
      <xdr:nvSpPr>
        <xdr:cNvPr id="9" name="Right Brace 8"/>
        <xdr:cNvSpPr/>
      </xdr:nvSpPr>
      <xdr:spPr>
        <a:xfrm>
          <a:off x="3810560" y="12458700"/>
          <a:ext cx="262779" cy="1447800"/>
        </a:xfrm>
        <a:prstGeom prst="rightBrace">
          <a:avLst>
            <a:gd name="adj1" fmla="val 0"/>
            <a:gd name="adj2" fmla="val 50000"/>
          </a:avLst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468086</xdr:colOff>
      <xdr:row>4</xdr:row>
      <xdr:rowOff>76199</xdr:rowOff>
    </xdr:from>
    <xdr:to>
      <xdr:col>9</xdr:col>
      <xdr:colOff>438151</xdr:colOff>
      <xdr:row>12</xdr:row>
      <xdr:rowOff>138373</xdr:rowOff>
    </xdr:to>
    <xdr:sp macro="" textlink="">
      <xdr:nvSpPr>
        <xdr:cNvPr id="10" name="Multiply 9"/>
        <xdr:cNvSpPr/>
      </xdr:nvSpPr>
      <xdr:spPr>
        <a:xfrm>
          <a:off x="8573861" y="838199"/>
          <a:ext cx="1884590" cy="1595699"/>
        </a:xfrm>
        <a:prstGeom prst="mathMultiply">
          <a:avLst>
            <a:gd name="adj1" fmla="val 13091"/>
          </a:avLst>
        </a:prstGeom>
        <a:solidFill>
          <a:srgbClr val="FF212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197827</xdr:colOff>
      <xdr:row>2</xdr:row>
      <xdr:rowOff>161192</xdr:rowOff>
    </xdr:from>
    <xdr:to>
      <xdr:col>9</xdr:col>
      <xdr:colOff>798634</xdr:colOff>
      <xdr:row>14</xdr:row>
      <xdr:rowOff>0</xdr:rowOff>
    </xdr:to>
    <xdr:sp macro="" textlink="">
      <xdr:nvSpPr>
        <xdr:cNvPr id="11" name="Rectangle 10"/>
        <xdr:cNvSpPr/>
      </xdr:nvSpPr>
      <xdr:spPr>
        <a:xfrm>
          <a:off x="8303602" y="542192"/>
          <a:ext cx="2515332" cy="2143858"/>
        </a:xfrm>
        <a:prstGeom prst="rect">
          <a:avLst/>
        </a:prstGeom>
        <a:noFill/>
        <a:ln w="38100">
          <a:solidFill>
            <a:srgbClr val="FF21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276225</xdr:colOff>
      <xdr:row>6</xdr:row>
      <xdr:rowOff>153866</xdr:rowOff>
    </xdr:from>
    <xdr:to>
      <xdr:col>5</xdr:col>
      <xdr:colOff>87922</xdr:colOff>
      <xdr:row>10</xdr:row>
      <xdr:rowOff>51289</xdr:rowOff>
    </xdr:to>
    <xdr:sp macro="" textlink="">
      <xdr:nvSpPr>
        <xdr:cNvPr id="12" name="Rounded Rectangular Callout 11"/>
        <xdr:cNvSpPr/>
      </xdr:nvSpPr>
      <xdr:spPr>
        <a:xfrm>
          <a:off x="4743450" y="1296866"/>
          <a:ext cx="1640497" cy="659423"/>
        </a:xfrm>
        <a:prstGeom prst="wedgeRoundRectCallout">
          <a:avLst>
            <a:gd name="adj1" fmla="val 73436"/>
            <a:gd name="adj2" fmla="val -5145"/>
            <a:gd name="adj3" fmla="val 16667"/>
          </a:avLst>
        </a:prstGeom>
        <a:solidFill>
          <a:sysClr val="window" lastClr="FFFFFF"/>
        </a:solidFill>
        <a:ln w="19050">
          <a:solidFill>
            <a:srgbClr val="FF21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2121"/>
              </a:solidFill>
            </a:rPr>
            <a:t>Forecast done only for 2 years</a:t>
          </a:r>
        </a:p>
      </xdr:txBody>
    </xdr:sp>
    <xdr:clientData/>
  </xdr:twoCellAnchor>
  <xdr:twoCellAnchor>
    <xdr:from>
      <xdr:col>2</xdr:col>
      <xdr:colOff>266700</xdr:colOff>
      <xdr:row>12</xdr:row>
      <xdr:rowOff>182441</xdr:rowOff>
    </xdr:from>
    <xdr:to>
      <xdr:col>4</xdr:col>
      <xdr:colOff>459397</xdr:colOff>
      <xdr:row>16</xdr:row>
      <xdr:rowOff>70339</xdr:rowOff>
    </xdr:to>
    <xdr:sp macro="" textlink="">
      <xdr:nvSpPr>
        <xdr:cNvPr id="13" name="Rounded Rectangular Callout 12"/>
        <xdr:cNvSpPr/>
      </xdr:nvSpPr>
      <xdr:spPr>
        <a:xfrm>
          <a:off x="4010025" y="2477966"/>
          <a:ext cx="1640497" cy="659423"/>
        </a:xfrm>
        <a:prstGeom prst="wedgeRoundRectCallout">
          <a:avLst>
            <a:gd name="adj1" fmla="val -64751"/>
            <a:gd name="adj2" fmla="val 165300"/>
            <a:gd name="adj3" fmla="val 16667"/>
          </a:avLst>
        </a:prstGeom>
        <a:solidFill>
          <a:sysClr val="window" lastClr="FFFFFF"/>
        </a:solidFill>
        <a:ln w="19050">
          <a:solidFill>
            <a:srgbClr val="FF21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2121"/>
              </a:solidFill>
            </a:rPr>
            <a:t>Random Beta Value</a:t>
          </a:r>
        </a:p>
      </xdr:txBody>
    </xdr:sp>
    <xdr:clientData/>
  </xdr:twoCellAnchor>
  <xdr:twoCellAnchor>
    <xdr:from>
      <xdr:col>3</xdr:col>
      <xdr:colOff>142875</xdr:colOff>
      <xdr:row>17</xdr:row>
      <xdr:rowOff>153866</xdr:rowOff>
    </xdr:from>
    <xdr:to>
      <xdr:col>5</xdr:col>
      <xdr:colOff>238125</xdr:colOff>
      <xdr:row>21</xdr:row>
      <xdr:rowOff>51289</xdr:rowOff>
    </xdr:to>
    <xdr:sp macro="" textlink="">
      <xdr:nvSpPr>
        <xdr:cNvPr id="14" name="Rounded Rectangular Callout 13"/>
        <xdr:cNvSpPr/>
      </xdr:nvSpPr>
      <xdr:spPr>
        <a:xfrm>
          <a:off x="4610100" y="3411416"/>
          <a:ext cx="1924050" cy="659423"/>
        </a:xfrm>
        <a:prstGeom prst="wedgeRoundRectCallout">
          <a:avLst>
            <a:gd name="adj1" fmla="val -89706"/>
            <a:gd name="adj2" fmla="val 54078"/>
            <a:gd name="adj3" fmla="val 16667"/>
          </a:avLst>
        </a:prstGeom>
        <a:solidFill>
          <a:sysClr val="window" lastClr="FFFFFF"/>
        </a:solidFill>
        <a:ln w="19050">
          <a:solidFill>
            <a:srgbClr val="FF21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2121"/>
              </a:solidFill>
            </a:rPr>
            <a:t>Extreme equity Risk premium taken.</a:t>
          </a:r>
        </a:p>
      </xdr:txBody>
    </xdr:sp>
    <xdr:clientData/>
  </xdr:twoCellAnchor>
  <xdr:twoCellAnchor>
    <xdr:from>
      <xdr:col>3</xdr:col>
      <xdr:colOff>142875</xdr:colOff>
      <xdr:row>23</xdr:row>
      <xdr:rowOff>144341</xdr:rowOff>
    </xdr:from>
    <xdr:to>
      <xdr:col>4</xdr:col>
      <xdr:colOff>1059472</xdr:colOff>
      <xdr:row>27</xdr:row>
      <xdr:rowOff>41764</xdr:rowOff>
    </xdr:to>
    <xdr:sp macro="" textlink="">
      <xdr:nvSpPr>
        <xdr:cNvPr id="15" name="Rounded Rectangular Callout 14"/>
        <xdr:cNvSpPr/>
      </xdr:nvSpPr>
      <xdr:spPr>
        <a:xfrm>
          <a:off x="4610100" y="4544891"/>
          <a:ext cx="1640497" cy="659423"/>
        </a:xfrm>
        <a:prstGeom prst="wedgeRoundRectCallout">
          <a:avLst>
            <a:gd name="adj1" fmla="val -96104"/>
            <a:gd name="adj2" fmla="val -26811"/>
            <a:gd name="adj3" fmla="val 16667"/>
          </a:avLst>
        </a:prstGeom>
        <a:solidFill>
          <a:sysClr val="window" lastClr="FFFFFF"/>
        </a:solidFill>
        <a:ln w="19050">
          <a:solidFill>
            <a:srgbClr val="FF21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2121"/>
              </a:solidFill>
            </a:rPr>
            <a:t>Extreme Growth rate taken.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193861</xdr:colOff>
      <xdr:row>65</xdr:row>
      <xdr:rowOff>179293</xdr:rowOff>
    </xdr:from>
    <xdr:to>
      <xdr:col>14</xdr:col>
      <xdr:colOff>114861</xdr:colOff>
      <xdr:row>67</xdr:row>
      <xdr:rowOff>64994</xdr:rowOff>
    </xdr:to>
    <xdr:sp macro="" textlink="">
      <xdr:nvSpPr>
        <xdr:cNvPr id="5" name="TextBox 4"/>
        <xdr:cNvSpPr txBox="1"/>
      </xdr:nvSpPr>
      <xdr:spPr>
        <a:xfrm>
          <a:off x="11480986" y="13552393"/>
          <a:ext cx="2359400" cy="285751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&lt;&lt; use XNPV instead of NPV</a:t>
          </a:r>
        </a:p>
      </xdr:txBody>
    </xdr:sp>
    <xdr:clientData/>
  </xdr:twoCellAnchor>
  <xdr:twoCellAnchor>
    <xdr:from>
      <xdr:col>10</xdr:col>
      <xdr:colOff>0</xdr:colOff>
      <xdr:row>65</xdr:row>
      <xdr:rowOff>76200</xdr:rowOff>
    </xdr:from>
    <xdr:to>
      <xdr:col>10</xdr:col>
      <xdr:colOff>619686</xdr:colOff>
      <xdr:row>65</xdr:row>
      <xdr:rowOff>168088</xdr:rowOff>
    </xdr:to>
    <xdr:cxnSp macro="">
      <xdr:nvCxnSpPr>
        <xdr:cNvPr id="6" name="Straight Arrow Connector 5"/>
        <xdr:cNvCxnSpPr/>
      </xdr:nvCxnSpPr>
      <xdr:spPr>
        <a:xfrm rot="10800000">
          <a:off x="11287125" y="13449300"/>
          <a:ext cx="619686" cy="91888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330573</xdr:colOff>
      <xdr:row>54</xdr:row>
      <xdr:rowOff>107861</xdr:rowOff>
    </xdr:from>
    <xdr:to>
      <xdr:col>8</xdr:col>
      <xdr:colOff>431426</xdr:colOff>
      <xdr:row>57</xdr:row>
      <xdr:rowOff>83484</xdr:rowOff>
    </xdr:to>
    <xdr:sp macro="" textlink="">
      <xdr:nvSpPr>
        <xdr:cNvPr id="9" name="TextBox 8"/>
        <xdr:cNvSpPr txBox="1"/>
      </xdr:nvSpPr>
      <xdr:spPr>
        <a:xfrm>
          <a:off x="5340723" y="11385461"/>
          <a:ext cx="4463303" cy="547123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&lt;&lt;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WACC should be used as discount rate for calculating present value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67235</xdr:colOff>
      <xdr:row>52</xdr:row>
      <xdr:rowOff>38100</xdr:rowOff>
    </xdr:from>
    <xdr:to>
      <xdr:col>3</xdr:col>
      <xdr:colOff>330014</xdr:colOff>
      <xdr:row>59</xdr:row>
      <xdr:rowOff>152400</xdr:rowOff>
    </xdr:to>
    <xdr:sp macro="" textlink="">
      <xdr:nvSpPr>
        <xdr:cNvPr id="10" name="Right Brace 9"/>
        <xdr:cNvSpPr/>
      </xdr:nvSpPr>
      <xdr:spPr>
        <a:xfrm>
          <a:off x="5077385" y="10934700"/>
          <a:ext cx="262779" cy="1447800"/>
        </a:xfrm>
        <a:prstGeom prst="rightBrace">
          <a:avLst>
            <a:gd name="adj1" fmla="val 0"/>
            <a:gd name="adj2" fmla="val 50000"/>
          </a:avLst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638175</xdr:colOff>
      <xdr:row>6</xdr:row>
      <xdr:rowOff>161925</xdr:rowOff>
    </xdr:from>
    <xdr:to>
      <xdr:col>5</xdr:col>
      <xdr:colOff>602272</xdr:colOff>
      <xdr:row>10</xdr:row>
      <xdr:rowOff>59348</xdr:rowOff>
    </xdr:to>
    <xdr:sp macro="" textlink="">
      <xdr:nvSpPr>
        <xdr:cNvPr id="16" name="Rounded Rectangular Callout 15"/>
        <xdr:cNvSpPr/>
      </xdr:nvSpPr>
      <xdr:spPr>
        <a:xfrm>
          <a:off x="5648325" y="2257425"/>
          <a:ext cx="1411897" cy="659423"/>
        </a:xfrm>
        <a:prstGeom prst="wedgeRoundRectCallout">
          <a:avLst>
            <a:gd name="adj1" fmla="val 106493"/>
            <a:gd name="adj2" fmla="val -6589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Forecast done  for 5 years</a:t>
          </a:r>
        </a:p>
      </xdr:txBody>
    </xdr:sp>
    <xdr:clientData/>
  </xdr:twoCellAnchor>
  <xdr:twoCellAnchor>
    <xdr:from>
      <xdr:col>3</xdr:col>
      <xdr:colOff>0</xdr:colOff>
      <xdr:row>12</xdr:row>
      <xdr:rowOff>95250</xdr:rowOff>
    </xdr:from>
    <xdr:to>
      <xdr:col>5</xdr:col>
      <xdr:colOff>819150</xdr:colOff>
      <xdr:row>16</xdr:row>
      <xdr:rowOff>28575</xdr:rowOff>
    </xdr:to>
    <xdr:sp macro="" textlink="">
      <xdr:nvSpPr>
        <xdr:cNvPr id="17" name="Rounded Rectangular Callout 16"/>
        <xdr:cNvSpPr/>
      </xdr:nvSpPr>
      <xdr:spPr>
        <a:xfrm>
          <a:off x="4105275" y="3343275"/>
          <a:ext cx="2266950" cy="704850"/>
        </a:xfrm>
        <a:prstGeom prst="wedgeRoundRectCallout">
          <a:avLst>
            <a:gd name="adj1" fmla="val -48219"/>
            <a:gd name="adj2" fmla="val 164889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 Beta Value taken from </a:t>
          </a:r>
          <a:r>
            <a:rPr lang="en-US" sz="1400" b="0">
              <a:solidFill>
                <a:srgbClr val="FF0000"/>
              </a:solidFill>
            </a:rPr>
            <a:t>www.reuters.com</a:t>
          </a:r>
        </a:p>
      </xdr:txBody>
    </xdr:sp>
    <xdr:clientData/>
  </xdr:twoCellAnchor>
  <xdr:twoCellAnchor>
    <xdr:from>
      <xdr:col>4</xdr:col>
      <xdr:colOff>209550</xdr:colOff>
      <xdr:row>17</xdr:row>
      <xdr:rowOff>171450</xdr:rowOff>
    </xdr:from>
    <xdr:to>
      <xdr:col>6</xdr:col>
      <xdr:colOff>495300</xdr:colOff>
      <xdr:row>21</xdr:row>
      <xdr:rowOff>68873</xdr:rowOff>
    </xdr:to>
    <xdr:sp macro="" textlink="">
      <xdr:nvSpPr>
        <xdr:cNvPr id="18" name="Rounded Rectangular Callout 17"/>
        <xdr:cNvSpPr/>
      </xdr:nvSpPr>
      <xdr:spPr>
        <a:xfrm>
          <a:off x="5038725" y="4381500"/>
          <a:ext cx="2114550" cy="659423"/>
        </a:xfrm>
        <a:prstGeom prst="wedgeRoundRectCallout">
          <a:avLst>
            <a:gd name="adj1" fmla="val -90910"/>
            <a:gd name="adj2" fmla="val 56967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Calculated value taken for Equity Risk Premium. </a:t>
          </a:r>
        </a:p>
      </xdr:txBody>
    </xdr:sp>
    <xdr:clientData/>
  </xdr:twoCellAnchor>
  <xdr:twoCellAnchor>
    <xdr:from>
      <xdr:col>4</xdr:col>
      <xdr:colOff>133350</xdr:colOff>
      <xdr:row>23</xdr:row>
      <xdr:rowOff>133350</xdr:rowOff>
    </xdr:from>
    <xdr:to>
      <xdr:col>6</xdr:col>
      <xdr:colOff>428625</xdr:colOff>
      <xdr:row>27</xdr:row>
      <xdr:rowOff>30773</xdr:rowOff>
    </xdr:to>
    <xdr:sp macro="" textlink="">
      <xdr:nvSpPr>
        <xdr:cNvPr id="19" name="Rounded Rectangular Callout 18"/>
        <xdr:cNvSpPr/>
      </xdr:nvSpPr>
      <xdr:spPr>
        <a:xfrm>
          <a:off x="4962525" y="5486400"/>
          <a:ext cx="2124075" cy="659423"/>
        </a:xfrm>
        <a:prstGeom prst="wedgeRoundRectCallout">
          <a:avLst>
            <a:gd name="adj1" fmla="val -86084"/>
            <a:gd name="adj2" fmla="val -21034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Growth rate taken less than GDP of the nation.</a:t>
          </a:r>
        </a:p>
      </xdr:txBody>
    </xdr:sp>
    <xdr:clientData/>
  </xdr:twoCellAnchor>
  <xdr:twoCellAnchor>
    <xdr:from>
      <xdr:col>6</xdr:col>
      <xdr:colOff>9524</xdr:colOff>
      <xdr:row>3</xdr:row>
      <xdr:rowOff>0</xdr:rowOff>
    </xdr:from>
    <xdr:to>
      <xdr:col>11</xdr:col>
      <xdr:colOff>19050</xdr:colOff>
      <xdr:row>12</xdr:row>
      <xdr:rowOff>9525</xdr:rowOff>
    </xdr:to>
    <xdr:sp macro="" textlink="">
      <xdr:nvSpPr>
        <xdr:cNvPr id="20" name="Rectangle 19"/>
        <xdr:cNvSpPr/>
      </xdr:nvSpPr>
      <xdr:spPr>
        <a:xfrm>
          <a:off x="6667499" y="1143000"/>
          <a:ext cx="4686301" cy="173355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dhuri\Desktop\Mistakes\With%20Mistak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%2020-10-14\Final%20Company%20Models\models\M&amp;M%20With%20solu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Overview"/>
      <sheetName val="Income Statement"/>
      <sheetName val="Balance Sheet"/>
      <sheetName val="Cash Flow Statement"/>
      <sheetName val="Ratio Analysis"/>
      <sheetName val="Revenue Buildup"/>
      <sheetName val="Cost Sheet"/>
      <sheetName val="Working Capital Management"/>
      <sheetName val="Depreciation Schedule"/>
      <sheetName val="Amortization Schedule"/>
      <sheetName val="Shareholder's Equity Schedule"/>
      <sheetName val="Debt Schedule"/>
      <sheetName val="DCF Valuation"/>
      <sheetName val="Relative Valuation"/>
      <sheetName val="Recommendation"/>
      <sheetName val="Recommendation details"/>
    </sheetNames>
    <sheetDataSet>
      <sheetData sheetId="0" refreshError="1"/>
      <sheetData sheetId="1" refreshError="1"/>
      <sheetData sheetId="2" refreshError="1"/>
      <sheetData sheetId="3">
        <row r="39">
          <cell r="F39">
            <v>-21558.6</v>
          </cell>
        </row>
        <row r="64">
          <cell r="F64">
            <v>587.93907484016427</v>
          </cell>
        </row>
      </sheetData>
      <sheetData sheetId="4">
        <row r="19">
          <cell r="E19">
            <v>198602.59999999998</v>
          </cell>
        </row>
        <row r="26">
          <cell r="E26">
            <v>33684.800000000003</v>
          </cell>
        </row>
        <row r="57">
          <cell r="E57">
            <v>47602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Overview"/>
      <sheetName val="Income Statement"/>
      <sheetName val="Balance Sheet"/>
      <sheetName val="Cash Flow Statement"/>
      <sheetName val="Ratio Analysis"/>
      <sheetName val="Revenue Buildup"/>
      <sheetName val="Cost Sheet"/>
      <sheetName val="Working Capital Management"/>
      <sheetName val="Depreciation Schedule"/>
      <sheetName val="Amortization Schedule"/>
      <sheetName val="Shareholder's Equity Schedule"/>
      <sheetName val="Debt Schedule"/>
      <sheetName val="DCF Valuation"/>
      <sheetName val="Relative Valuation"/>
      <sheetName val="Recommendation"/>
      <sheetName val="Recommendation details"/>
    </sheetNames>
    <sheetDataSet>
      <sheetData sheetId="0" refreshError="1"/>
      <sheetData sheetId="1" refreshError="1"/>
      <sheetData sheetId="2" refreshError="1"/>
      <sheetData sheetId="3">
        <row r="39">
          <cell r="F39">
            <v>-21558.6</v>
          </cell>
        </row>
        <row r="64">
          <cell r="F64">
            <v>587.93907484016427</v>
          </cell>
        </row>
        <row r="70">
          <cell r="F70">
            <v>0.31433578777034532</v>
          </cell>
        </row>
      </sheetData>
      <sheetData sheetId="4">
        <row r="19">
          <cell r="E19">
            <v>198602.59999999998</v>
          </cell>
        </row>
        <row r="26">
          <cell r="E26">
            <v>33684.800000000003</v>
          </cell>
        </row>
        <row r="57">
          <cell r="E57">
            <v>47602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zoomScale="130" zoomScaleNormal="130" workbookViewId="0"/>
  </sheetViews>
  <sheetFormatPr defaultColWidth="9.28515625" defaultRowHeight="15" x14ac:dyDescent="0.25"/>
  <cols>
    <col min="1" max="1" width="29.7109375" style="3" customWidth="1"/>
    <col min="2" max="2" width="24.42578125" style="3" customWidth="1"/>
    <col min="3" max="4" width="10.85546875" style="3" customWidth="1"/>
    <col min="5" max="5" width="16.5703125" style="3" customWidth="1"/>
    <col min="6" max="6" width="13.42578125" style="3" customWidth="1"/>
    <col min="7" max="7" width="13.7109375" style="3" customWidth="1"/>
    <col min="8" max="8" width="14.140625" style="3" customWidth="1"/>
    <col min="9" max="9" width="14.5703125" style="3" customWidth="1"/>
    <col min="10" max="10" width="14.28515625" style="3" bestFit="1" customWidth="1"/>
    <col min="11" max="11" width="15.7109375" style="3" customWidth="1"/>
    <col min="12" max="13" width="3.28515625" style="3" customWidth="1"/>
    <col min="14" max="16384" width="9.28515625" style="3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5" customFormat="1" x14ac:dyDescent="0.25">
      <c r="A4" s="4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7" x14ac:dyDescent="0.25">
      <c r="A5" s="7" t="s">
        <v>12</v>
      </c>
      <c r="B5" s="7"/>
      <c r="C5" s="7"/>
      <c r="D5" s="7"/>
      <c r="E5" s="7"/>
      <c r="F5" s="7"/>
      <c r="G5" s="7"/>
      <c r="H5" s="7"/>
      <c r="I5" s="7"/>
      <c r="J5" s="7"/>
      <c r="K5" s="2"/>
      <c r="L5" s="2"/>
      <c r="M5" s="2"/>
      <c r="N5" s="2"/>
      <c r="O5" s="2"/>
      <c r="P5" s="2"/>
      <c r="Q5" s="2"/>
    </row>
    <row r="6" spans="1:17" x14ac:dyDescent="0.25">
      <c r="A6" s="8" t="s">
        <v>13</v>
      </c>
      <c r="B6" s="8"/>
      <c r="C6" s="8"/>
      <c r="D6" s="8"/>
      <c r="E6" s="8"/>
      <c r="F6" s="8"/>
      <c r="G6" s="8"/>
      <c r="H6" s="8"/>
      <c r="I6" s="8"/>
      <c r="J6" s="8"/>
      <c r="K6" s="2"/>
      <c r="L6" s="2"/>
      <c r="M6" s="2"/>
      <c r="N6" s="2"/>
      <c r="O6" s="2"/>
      <c r="P6" s="2"/>
      <c r="Q6" s="2"/>
    </row>
    <row r="7" spans="1:17" x14ac:dyDescent="0.25">
      <c r="A7" s="9" t="s">
        <v>14</v>
      </c>
      <c r="B7" s="2"/>
      <c r="C7" s="2"/>
      <c r="D7" s="2"/>
      <c r="E7" s="10"/>
      <c r="F7" s="95">
        <v>58450.768269801032</v>
      </c>
      <c r="G7" s="95">
        <v>76692.437072161178</v>
      </c>
      <c r="H7" s="91"/>
      <c r="I7" s="91"/>
      <c r="J7" s="91"/>
      <c r="K7" s="2"/>
      <c r="L7" s="2"/>
      <c r="M7" s="2"/>
      <c r="N7" s="2"/>
      <c r="O7" s="2"/>
      <c r="P7" s="2"/>
      <c r="Q7" s="2"/>
    </row>
    <row r="8" spans="1:17" x14ac:dyDescent="0.25">
      <c r="A8" s="9" t="s">
        <v>15</v>
      </c>
      <c r="B8" s="2"/>
      <c r="C8" s="2"/>
      <c r="D8" s="2"/>
      <c r="E8" s="10"/>
      <c r="F8" s="96">
        <v>14905.172807485606</v>
      </c>
      <c r="G8" s="96">
        <v>18275.61390112825</v>
      </c>
      <c r="H8" s="92"/>
      <c r="I8" s="92"/>
      <c r="J8" s="92"/>
      <c r="K8" s="2"/>
      <c r="L8" s="2"/>
      <c r="M8" s="2"/>
      <c r="N8" s="2"/>
      <c r="O8" s="2"/>
      <c r="P8" s="2"/>
      <c r="Q8" s="2"/>
    </row>
    <row r="9" spans="1:17" x14ac:dyDescent="0.25">
      <c r="A9" s="11" t="s">
        <v>16</v>
      </c>
      <c r="B9" s="2"/>
      <c r="C9" s="2"/>
      <c r="D9" s="2"/>
      <c r="E9" s="10"/>
      <c r="F9" s="96">
        <v>12122.978365993473</v>
      </c>
      <c r="G9" s="96">
        <v>10693.082254836889</v>
      </c>
      <c r="H9" s="92"/>
      <c r="I9" s="92"/>
      <c r="J9" s="92"/>
      <c r="K9" s="2"/>
      <c r="L9" s="2"/>
      <c r="M9" s="2"/>
      <c r="N9" s="2"/>
      <c r="O9" s="2"/>
      <c r="P9" s="2"/>
      <c r="Q9" s="2"/>
    </row>
    <row r="10" spans="1:17" x14ac:dyDescent="0.25">
      <c r="A10" s="9" t="s">
        <v>17</v>
      </c>
      <c r="B10" s="2"/>
      <c r="C10" s="2"/>
      <c r="D10" s="2"/>
      <c r="E10" s="10"/>
      <c r="F10" s="96">
        <v>-12503.132161738176</v>
      </c>
      <c r="G10" s="96">
        <v>-19933.520422434493</v>
      </c>
      <c r="H10" s="92"/>
      <c r="I10" s="92"/>
      <c r="J10" s="92"/>
      <c r="K10" s="2"/>
      <c r="L10" s="2"/>
      <c r="M10" s="2"/>
      <c r="N10" s="2"/>
      <c r="O10" s="2"/>
      <c r="P10" s="2"/>
      <c r="Q10" s="2"/>
    </row>
    <row r="11" spans="1:17" x14ac:dyDescent="0.25">
      <c r="A11" s="9" t="s">
        <v>18</v>
      </c>
      <c r="B11" s="2"/>
      <c r="C11" s="2"/>
      <c r="D11" s="2"/>
      <c r="E11" s="12"/>
      <c r="F11" s="97">
        <v>-34525.639585200006</v>
      </c>
      <c r="G11" s="97">
        <v>-43376.898653555996</v>
      </c>
      <c r="H11" s="93"/>
      <c r="I11" s="93"/>
      <c r="J11" s="93"/>
      <c r="K11" s="2"/>
      <c r="L11" s="2"/>
      <c r="M11" s="2"/>
      <c r="N11" s="2"/>
      <c r="O11" s="2"/>
      <c r="P11" s="2"/>
      <c r="Q11" s="2"/>
    </row>
    <row r="12" spans="1:17" ht="15.75" thickBot="1" x14ac:dyDescent="0.3">
      <c r="A12" s="13" t="s">
        <v>19</v>
      </c>
      <c r="B12" s="14"/>
      <c r="C12" s="14"/>
      <c r="D12" s="14"/>
      <c r="E12" s="14"/>
      <c r="F12" s="15">
        <f>SUM(F7:F11)</f>
        <v>38450.147696341934</v>
      </c>
      <c r="G12" s="15">
        <f t="shared" ref="G12" si="0">SUM(G7:G11)</f>
        <v>42350.714152135828</v>
      </c>
      <c r="H12" s="94"/>
      <c r="I12" s="94"/>
      <c r="J12" s="94"/>
      <c r="K12" s="2"/>
      <c r="L12" s="2"/>
      <c r="M12" s="2"/>
      <c r="N12" s="2"/>
      <c r="O12" s="2"/>
      <c r="P12" s="2"/>
      <c r="Q12" s="2"/>
    </row>
    <row r="13" spans="1:17" ht="15.75" thickTop="1" x14ac:dyDescent="0.25">
      <c r="A13" s="1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17" t="s">
        <v>20</v>
      </c>
      <c r="B14" s="18"/>
      <c r="C14" s="18"/>
      <c r="D14" s="18"/>
      <c r="E14" s="18"/>
      <c r="F14" s="18"/>
      <c r="G14" s="19">
        <f>G12*(1+B25)/(B61-B25)</f>
        <v>436567.49629818683</v>
      </c>
      <c r="H14" s="18"/>
      <c r="I14" s="18"/>
      <c r="J14" s="18"/>
      <c r="K14" s="2"/>
      <c r="L14" s="2"/>
      <c r="M14" s="2"/>
      <c r="N14" s="2"/>
      <c r="O14" s="2"/>
      <c r="P14" s="2"/>
      <c r="Q14" s="2"/>
    </row>
    <row r="15" spans="1:17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20" t="s">
        <v>21</v>
      </c>
      <c r="B16" s="20"/>
      <c r="C16" s="20"/>
      <c r="D16" s="20"/>
      <c r="E16" s="20"/>
      <c r="F16" s="20"/>
      <c r="G16" s="20"/>
      <c r="H16" s="20"/>
      <c r="I16" s="20"/>
      <c r="J16" s="20"/>
      <c r="K16" s="2"/>
      <c r="L16" s="2"/>
      <c r="M16" s="2"/>
      <c r="N16" s="2"/>
      <c r="O16" s="2"/>
      <c r="P16" s="2"/>
      <c r="Q16" s="2"/>
    </row>
    <row r="17" spans="1:1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21" t="s">
        <v>22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23" t="s">
        <v>23</v>
      </c>
      <c r="B20" s="24">
        <v>7.7200000000000005E-2</v>
      </c>
      <c r="C20" s="2"/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23" t="s">
        <v>24</v>
      </c>
      <c r="B21" s="88">
        <v>1.75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26" t="s">
        <v>25</v>
      </c>
      <c r="B22" s="89">
        <v>0.08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26" t="s">
        <v>26</v>
      </c>
      <c r="B23" s="27">
        <f>B20+B21*B22</f>
        <v>0.2172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8"/>
      <c r="B24" s="2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28" t="s">
        <v>27</v>
      </c>
      <c r="B25" s="90">
        <v>0.08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8"/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3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31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3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32" t="s">
        <v>29</v>
      </c>
      <c r="B30" s="33">
        <v>1193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32" t="s">
        <v>30</v>
      </c>
      <c r="B31" s="34">
        <f>'[1]Income Statement'!F64</f>
        <v>587.93907484016427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32" t="s">
        <v>31</v>
      </c>
      <c r="B32" s="34"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32" t="s">
        <v>32</v>
      </c>
      <c r="B33" s="34">
        <f>B31+B32</f>
        <v>587.93907484016427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32"/>
      <c r="B34" s="3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32" t="s">
        <v>33</v>
      </c>
      <c r="B35" s="35">
        <f>B33*B30</f>
        <v>701411.31628431601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3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31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3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32" t="s">
        <v>35</v>
      </c>
      <c r="B39" s="3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32" t="s">
        <v>36</v>
      </c>
      <c r="B40" s="36">
        <f>'[1]Balance Sheet'!E26</f>
        <v>33684.800000000003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32" t="s">
        <v>37</v>
      </c>
      <c r="B41" s="36">
        <f>'[1]Balance Sheet'!E19</f>
        <v>198602.59999999998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32" t="s">
        <v>38</v>
      </c>
      <c r="B42" s="34"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32" t="s">
        <v>39</v>
      </c>
      <c r="B43" s="35">
        <f>B40+B41</f>
        <v>232287.39999999997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3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31" t="s">
        <v>40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3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32" t="s">
        <v>41</v>
      </c>
      <c r="B47" s="37">
        <f>B35/(B35+B43)</f>
        <v>0.75121803645142071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32" t="s">
        <v>42</v>
      </c>
      <c r="B48" s="37">
        <f>B43/(B35+B43)</f>
        <v>0.24878196354857926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 thickBot="1" x14ac:dyDescent="0.3">
      <c r="A49" s="3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 thickBot="1" x14ac:dyDescent="0.3">
      <c r="A50" s="39" t="s">
        <v>43</v>
      </c>
      <c r="B50" s="40">
        <f>B43/B35</f>
        <v>0.33117144620723887</v>
      </c>
      <c r="C50" s="41"/>
      <c r="D50" s="20"/>
      <c r="E50" s="20"/>
      <c r="F50" s="20"/>
      <c r="G50" s="20"/>
      <c r="H50" s="20"/>
      <c r="I50" s="20"/>
      <c r="J50" s="20"/>
      <c r="K50" s="2"/>
      <c r="L50" s="2"/>
      <c r="M50" s="2"/>
      <c r="N50" s="2"/>
      <c r="O50" s="2"/>
      <c r="P50" s="2"/>
      <c r="Q50" s="2"/>
    </row>
    <row r="51" spans="1:17" x14ac:dyDescent="0.25">
      <c r="A51" s="3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42" t="s">
        <v>44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3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43" t="s">
        <v>45</v>
      </c>
      <c r="B54" s="44">
        <f>B20</f>
        <v>7.7200000000000005E-2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43" t="s">
        <v>46</v>
      </c>
      <c r="B55" s="44">
        <f>B22</f>
        <v>0.08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43" t="s">
        <v>47</v>
      </c>
      <c r="B56" s="45">
        <f>B21</f>
        <v>1.75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43" t="s">
        <v>26</v>
      </c>
      <c r="B57" s="44">
        <f>B23</f>
        <v>0.2172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43" t="s">
        <v>48</v>
      </c>
      <c r="B58" s="44">
        <f>-'[1]Income Statement'!F39/'[1]Balance Sheet'!E19</f>
        <v>0.10855144897398121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43" t="s">
        <v>49</v>
      </c>
      <c r="B59" s="46">
        <v>0.2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43" t="s">
        <v>50</v>
      </c>
      <c r="B60" s="47">
        <f>B58*(1-B59)</f>
        <v>8.6841159179184974E-2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43" t="s">
        <v>51</v>
      </c>
      <c r="B61" s="48">
        <f>B57*B47+B60*B48</f>
        <v>0.18476907161468095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3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5">
      <c r="A63" s="49" t="s">
        <v>52</v>
      </c>
      <c r="B63" s="20"/>
      <c r="C63" s="20"/>
      <c r="D63" s="20"/>
      <c r="E63" s="20"/>
      <c r="F63" s="20"/>
      <c r="G63" s="20"/>
      <c r="H63" s="20"/>
      <c r="I63" s="20"/>
      <c r="J63" s="20"/>
      <c r="K63" s="2"/>
      <c r="L63" s="2"/>
      <c r="M63" s="2"/>
      <c r="N63" s="2"/>
      <c r="O63" s="2"/>
      <c r="P63" s="2"/>
      <c r="Q63" s="2"/>
    </row>
    <row r="64" spans="1:17" x14ac:dyDescent="0.25">
      <c r="A64" s="49"/>
      <c r="B64" s="20"/>
      <c r="C64" s="20"/>
      <c r="D64" s="20"/>
      <c r="E64" s="20"/>
      <c r="F64" s="20"/>
      <c r="G64" s="20"/>
      <c r="H64" s="20"/>
      <c r="I64" s="20"/>
      <c r="J64" s="20"/>
      <c r="K64" s="2"/>
      <c r="L64" s="2"/>
      <c r="M64" s="2"/>
      <c r="N64" s="2"/>
      <c r="O64" s="2"/>
      <c r="P64" s="2"/>
      <c r="Q64" s="2"/>
    </row>
    <row r="65" spans="1:17" x14ac:dyDescent="0.25">
      <c r="A65" s="22"/>
      <c r="B65" s="2"/>
      <c r="C65" s="2"/>
      <c r="D65" s="2"/>
      <c r="E65" s="50">
        <v>41670</v>
      </c>
      <c r="F65" s="50">
        <v>41729</v>
      </c>
      <c r="G65" s="50">
        <v>42094</v>
      </c>
      <c r="H65" s="50"/>
      <c r="I65" s="50"/>
      <c r="J65" s="50"/>
      <c r="K65" s="2"/>
      <c r="L65" s="2"/>
      <c r="M65" s="2"/>
      <c r="N65" s="2"/>
      <c r="O65" s="2"/>
      <c r="P65" s="2"/>
      <c r="Q65" s="2"/>
    </row>
    <row r="66" spans="1:17" x14ac:dyDescent="0.25">
      <c r="A66" s="38" t="s">
        <v>53</v>
      </c>
      <c r="B66" s="2"/>
      <c r="C66" s="2"/>
      <c r="D66" s="2"/>
      <c r="E66" s="2">
        <v>0</v>
      </c>
      <c r="F66" s="51">
        <f>F12</f>
        <v>38450.147696341934</v>
      </c>
      <c r="G66" s="51">
        <f t="shared" ref="G66" si="1">G12</f>
        <v>42350.714152135828</v>
      </c>
      <c r="H66" s="51"/>
      <c r="I66" s="51"/>
      <c r="J66" s="51"/>
      <c r="K66" s="2"/>
      <c r="L66" s="2"/>
      <c r="M66" s="2"/>
      <c r="N66" s="2"/>
      <c r="O66" s="2"/>
      <c r="P66" s="2"/>
      <c r="Q66" s="2"/>
    </row>
    <row r="67" spans="1:17" ht="15.75" thickBot="1" x14ac:dyDescent="0.3">
      <c r="A67" s="52" t="s">
        <v>54</v>
      </c>
      <c r="B67" s="52" t="s">
        <v>55</v>
      </c>
      <c r="C67" s="52"/>
      <c r="D67" s="52"/>
      <c r="E67" s="53">
        <f>XNPV(B61,E66:G66,E65:G65)</f>
        <v>72190.278795397724</v>
      </c>
      <c r="F67" s="52"/>
      <c r="G67" s="52"/>
      <c r="H67" s="52"/>
      <c r="I67" s="52"/>
      <c r="J67" s="52"/>
      <c r="K67" s="2"/>
      <c r="L67" s="2"/>
      <c r="M67" s="2"/>
      <c r="N67" s="2"/>
      <c r="O67" s="2"/>
      <c r="P67" s="2"/>
      <c r="Q67" s="2"/>
    </row>
    <row r="68" spans="1:17" ht="15.75" thickTop="1" x14ac:dyDescent="0.25">
      <c r="A68" s="2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49" t="s">
        <v>56</v>
      </c>
      <c r="B70" s="20"/>
      <c r="C70" s="20"/>
      <c r="D70" s="20"/>
      <c r="E70" s="20"/>
      <c r="F70" s="20"/>
      <c r="G70" s="20"/>
      <c r="H70" s="20"/>
      <c r="I70" s="20"/>
      <c r="J70" s="20"/>
      <c r="K70" s="2"/>
      <c r="L70" s="2"/>
      <c r="M70" s="2"/>
      <c r="N70" s="2"/>
      <c r="O70" s="2"/>
      <c r="P70" s="2"/>
      <c r="Q70" s="2"/>
    </row>
    <row r="71" spans="1:17" x14ac:dyDescent="0.25">
      <c r="A71" s="2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22"/>
      <c r="B72" s="2"/>
      <c r="C72" s="2"/>
      <c r="D72" s="2"/>
      <c r="E72" s="50">
        <v>41670</v>
      </c>
      <c r="F72" s="50">
        <v>41729</v>
      </c>
      <c r="G72" s="50">
        <v>42094</v>
      </c>
      <c r="H72" s="50"/>
      <c r="I72" s="50"/>
      <c r="J72" s="50"/>
      <c r="K72" s="2"/>
      <c r="L72" s="2"/>
      <c r="M72" s="2"/>
      <c r="N72" s="2"/>
      <c r="O72" s="2"/>
      <c r="P72" s="2"/>
      <c r="Q72" s="2"/>
    </row>
    <row r="73" spans="1:17" x14ac:dyDescent="0.25">
      <c r="A73" s="38" t="s">
        <v>20</v>
      </c>
      <c r="B73" s="2"/>
      <c r="C73" s="2"/>
      <c r="D73" s="2"/>
      <c r="E73" s="2">
        <v>0</v>
      </c>
      <c r="F73" s="2">
        <v>0</v>
      </c>
      <c r="G73" s="54">
        <f>G14</f>
        <v>436567.49629818683</v>
      </c>
      <c r="H73" s="2"/>
      <c r="I73" s="2"/>
      <c r="J73" s="55"/>
      <c r="K73" s="2"/>
      <c r="L73" s="2"/>
      <c r="M73" s="2"/>
      <c r="N73" s="2"/>
      <c r="O73" s="2"/>
      <c r="P73" s="2"/>
      <c r="Q73" s="2"/>
    </row>
    <row r="74" spans="1:17" ht="15.75" thickBot="1" x14ac:dyDescent="0.3">
      <c r="A74" s="52" t="s">
        <v>54</v>
      </c>
      <c r="B74" s="52" t="s">
        <v>55</v>
      </c>
      <c r="C74" s="52"/>
      <c r="D74" s="52"/>
      <c r="E74" s="53">
        <f>XNPV(B61,E73:G73,E72:G72)</f>
        <v>358521.54116430151</v>
      </c>
      <c r="F74" s="52"/>
      <c r="G74" s="52"/>
      <c r="H74" s="52"/>
      <c r="I74" s="52"/>
      <c r="J74" s="52"/>
      <c r="K74" s="2"/>
      <c r="L74" s="2"/>
      <c r="M74" s="2"/>
      <c r="N74" s="2"/>
      <c r="O74" s="2"/>
      <c r="P74" s="2"/>
      <c r="Q74" s="2"/>
    </row>
    <row r="75" spans="1:17" ht="15.75" thickTop="1" x14ac:dyDescent="0.25">
      <c r="A75" s="2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5">
      <c r="A76" s="2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2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49" t="s">
        <v>57</v>
      </c>
      <c r="B78" s="20"/>
      <c r="C78" s="20"/>
      <c r="D78" s="20"/>
      <c r="E78" s="20"/>
      <c r="F78" s="20"/>
      <c r="G78" s="20"/>
      <c r="H78" s="20"/>
      <c r="I78" s="20"/>
      <c r="J78" s="20"/>
      <c r="K78" s="2"/>
      <c r="L78" s="2"/>
      <c r="M78" s="2"/>
      <c r="N78" s="2"/>
      <c r="O78" s="2"/>
      <c r="P78" s="2"/>
      <c r="Q78" s="2"/>
    </row>
    <row r="79" spans="1:17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"/>
      <c r="L79" s="2"/>
      <c r="M79" s="2"/>
      <c r="N79" s="2"/>
      <c r="O79" s="2"/>
      <c r="P79" s="2"/>
      <c r="Q79" s="2"/>
    </row>
    <row r="80" spans="1:17" ht="15.75" thickBot="1" x14ac:dyDescent="0.3">
      <c r="A80" s="56" t="s">
        <v>58</v>
      </c>
      <c r="B80" s="56"/>
      <c r="C80" s="57"/>
      <c r="D80" s="57"/>
      <c r="E80" s="57"/>
      <c r="F80" s="57"/>
      <c r="G80" s="57"/>
      <c r="H80" s="57"/>
      <c r="I80" s="57"/>
      <c r="J80" s="57"/>
      <c r="K80" s="2"/>
      <c r="L80" s="2"/>
      <c r="M80" s="2"/>
      <c r="N80" s="2"/>
      <c r="O80" s="2"/>
      <c r="P80" s="2"/>
      <c r="Q80" s="2"/>
    </row>
    <row r="81" spans="1:17" s="60" customFormat="1" x14ac:dyDescent="0.25">
      <c r="A81" s="101" t="str">
        <f>"DCF calculation as of"</f>
        <v>DCF calculation as of</v>
      </c>
      <c r="B81" s="102"/>
      <c r="C81" s="58"/>
      <c r="D81" s="58"/>
      <c r="E81" s="58"/>
      <c r="F81" s="58"/>
      <c r="G81" s="58"/>
      <c r="H81" s="58"/>
      <c r="I81" s="58"/>
      <c r="J81" s="58"/>
      <c r="K81" s="59"/>
      <c r="L81" s="59"/>
      <c r="M81" s="59"/>
      <c r="N81" s="59"/>
      <c r="O81" s="59"/>
      <c r="P81" s="59"/>
      <c r="Q81" s="59"/>
    </row>
    <row r="82" spans="1:17" s="60" customFormat="1" x14ac:dyDescent="0.25">
      <c r="A82" s="103" t="s">
        <v>59</v>
      </c>
      <c r="B82" s="104">
        <f>E67</f>
        <v>72190.278795397724</v>
      </c>
      <c r="C82" s="38"/>
      <c r="D82" s="38"/>
      <c r="E82" s="38"/>
      <c r="F82" s="38"/>
      <c r="G82" s="38"/>
      <c r="H82" s="38"/>
      <c r="I82" s="38"/>
      <c r="J82" s="38"/>
      <c r="K82" s="59"/>
      <c r="L82" s="59"/>
      <c r="M82" s="59"/>
      <c r="N82" s="59"/>
      <c r="O82" s="59"/>
      <c r="P82" s="59"/>
      <c r="Q82" s="59"/>
    </row>
    <row r="83" spans="1:17" s="60" customFormat="1" x14ac:dyDescent="0.25">
      <c r="A83" s="103" t="s">
        <v>60</v>
      </c>
      <c r="B83" s="105">
        <f>E74</f>
        <v>358521.54116430151</v>
      </c>
      <c r="C83" s="38"/>
      <c r="D83" s="38"/>
      <c r="E83" s="38"/>
      <c r="F83" s="38"/>
      <c r="G83" s="38"/>
      <c r="H83" s="38"/>
      <c r="I83" s="38"/>
      <c r="J83" s="38"/>
      <c r="K83" s="59"/>
      <c r="L83" s="59"/>
      <c r="M83" s="59"/>
      <c r="N83" s="59"/>
      <c r="O83" s="59"/>
      <c r="P83" s="59"/>
      <c r="Q83" s="59"/>
    </row>
    <row r="84" spans="1:17" s="60" customFormat="1" ht="15.75" thickBot="1" x14ac:dyDescent="0.3">
      <c r="A84" s="106" t="s">
        <v>61</v>
      </c>
      <c r="B84" s="107">
        <f>B82+B83</f>
        <v>430711.81995969923</v>
      </c>
      <c r="C84" s="38"/>
      <c r="D84" s="38"/>
      <c r="E84" s="38"/>
      <c r="F84" s="38"/>
      <c r="G84" s="38"/>
      <c r="H84" s="38"/>
      <c r="I84" s="38"/>
      <c r="J84" s="38"/>
      <c r="K84" s="59"/>
      <c r="L84" s="59"/>
      <c r="M84" s="59"/>
      <c r="N84" s="59"/>
      <c r="O84" s="59"/>
      <c r="P84" s="59"/>
      <c r="Q84" s="59"/>
    </row>
    <row r="85" spans="1:17" s="60" customFormat="1" ht="15.75" thickTop="1" x14ac:dyDescent="0.25">
      <c r="A85" s="103" t="s">
        <v>62</v>
      </c>
      <c r="B85" s="104">
        <f>B43-'[1]Balance Sheet'!E57</f>
        <v>184685.39999999997</v>
      </c>
      <c r="C85" s="38"/>
      <c r="D85" s="38"/>
      <c r="E85" s="38"/>
      <c r="F85" s="38"/>
      <c r="G85" s="38"/>
      <c r="H85" s="38"/>
      <c r="I85" s="38"/>
      <c r="J85" s="38"/>
      <c r="K85" s="59"/>
      <c r="L85" s="59"/>
      <c r="M85" s="59"/>
      <c r="N85" s="59"/>
      <c r="O85" s="59"/>
      <c r="P85" s="59"/>
      <c r="Q85" s="59"/>
    </row>
    <row r="86" spans="1:17" s="60" customFormat="1" x14ac:dyDescent="0.25">
      <c r="A86" s="103" t="s">
        <v>63</v>
      </c>
      <c r="B86" s="108">
        <f>B84-B85</f>
        <v>246026.41995969927</v>
      </c>
      <c r="C86" s="38"/>
      <c r="D86" s="38"/>
      <c r="E86" s="38"/>
      <c r="F86" s="38"/>
      <c r="G86" s="38"/>
      <c r="H86" s="38"/>
      <c r="I86" s="38"/>
      <c r="J86" s="38"/>
      <c r="K86" s="59"/>
      <c r="L86" s="59"/>
      <c r="M86" s="59"/>
      <c r="N86" s="59"/>
      <c r="O86" s="59"/>
      <c r="P86" s="59"/>
      <c r="Q86" s="59"/>
    </row>
    <row r="87" spans="1:17" s="60" customFormat="1" ht="15.75" thickBot="1" x14ac:dyDescent="0.3">
      <c r="A87" s="109" t="s">
        <v>72</v>
      </c>
      <c r="B87" s="110">
        <f>B86/B31</f>
        <v>418.45563679635245</v>
      </c>
      <c r="C87" s="38"/>
      <c r="D87" s="38"/>
      <c r="E87" s="38"/>
      <c r="F87" s="38"/>
      <c r="G87" s="38"/>
      <c r="H87" s="38"/>
      <c r="I87" s="38"/>
      <c r="J87" s="38"/>
      <c r="K87" s="59"/>
      <c r="L87" s="59"/>
      <c r="M87" s="59"/>
      <c r="N87" s="59"/>
      <c r="O87" s="59"/>
      <c r="P87" s="59"/>
      <c r="Q87" s="59"/>
    </row>
    <row r="88" spans="1:17" x14ac:dyDescent="0.25">
      <c r="A88" s="22"/>
      <c r="B88" s="22"/>
      <c r="C88" s="22"/>
      <c r="D88" s="63"/>
      <c r="E88" s="22"/>
      <c r="F88" s="22"/>
      <c r="G88" s="22"/>
      <c r="H88" s="22"/>
      <c r="I88" s="22"/>
      <c r="J88" s="22"/>
      <c r="K88" s="2"/>
      <c r="L88" s="2"/>
      <c r="M88" s="2"/>
      <c r="N88" s="2"/>
      <c r="O88" s="2"/>
      <c r="P88" s="2"/>
      <c r="Q88" s="2"/>
    </row>
    <row r="89" spans="1:17" x14ac:dyDescent="0.25">
      <c r="A89" s="2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.75" thickBot="1" x14ac:dyDescent="0.3">
      <c r="A90" s="64" t="s">
        <v>64</v>
      </c>
      <c r="B90" s="64"/>
      <c r="C90" s="64"/>
      <c r="D90" s="64"/>
      <c r="E90" s="64"/>
      <c r="F90" s="64"/>
      <c r="G90" s="64"/>
      <c r="H90" s="64"/>
      <c r="I90" s="64"/>
      <c r="J90" s="64"/>
      <c r="K90" s="2"/>
      <c r="L90" s="2"/>
      <c r="M90" s="2"/>
      <c r="N90" s="2"/>
      <c r="O90" s="2"/>
      <c r="P90" s="2"/>
      <c r="Q90" s="2"/>
    </row>
    <row r="91" spans="1:17" x14ac:dyDescent="0.25">
      <c r="A91" s="2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s="67" customFormat="1" ht="12.75" customHeight="1" x14ac:dyDescent="0.25">
      <c r="A92" s="30"/>
      <c r="B92" s="65"/>
      <c r="C92" s="30"/>
      <c r="D92" s="30"/>
      <c r="E92" s="30"/>
      <c r="F92" s="30"/>
      <c r="G92" s="30"/>
      <c r="H92" s="30"/>
      <c r="I92" s="30"/>
      <c r="J92" s="30"/>
      <c r="K92" s="66"/>
      <c r="L92" s="66"/>
      <c r="M92" s="66"/>
      <c r="N92" s="66"/>
      <c r="O92" s="66"/>
      <c r="P92" s="22"/>
      <c r="Q92" s="22"/>
    </row>
    <row r="93" spans="1:17" s="67" customFormat="1" ht="12.75" customHeight="1" thickBot="1" x14ac:dyDescent="0.3">
      <c r="A93" s="30"/>
      <c r="B93" s="65"/>
      <c r="C93" s="66"/>
      <c r="D93" s="10"/>
      <c r="E93" s="10"/>
      <c r="F93" s="10" t="s">
        <v>51</v>
      </c>
      <c r="G93" s="10"/>
      <c r="H93" s="10"/>
      <c r="I93" s="10"/>
      <c r="J93" s="10"/>
      <c r="K93" s="30"/>
      <c r="L93" s="66"/>
      <c r="M93" s="66"/>
      <c r="N93" s="66"/>
      <c r="O93" s="66"/>
      <c r="P93" s="22"/>
      <c r="Q93" s="22"/>
    </row>
    <row r="94" spans="1:17" s="67" customFormat="1" ht="12.75" customHeight="1" x14ac:dyDescent="0.25">
      <c r="A94" s="30"/>
      <c r="B94" s="65"/>
      <c r="C94" s="66"/>
      <c r="D94" s="68">
        <f>B87</f>
        <v>418.45563679635245</v>
      </c>
      <c r="E94" s="69">
        <v>0.1</v>
      </c>
      <c r="F94" s="70">
        <v>0.107</v>
      </c>
      <c r="G94" s="70">
        <v>0.11</v>
      </c>
      <c r="H94" s="70">
        <v>0.11700000000000001</v>
      </c>
      <c r="I94" s="71">
        <v>0.12</v>
      </c>
      <c r="J94" s="72"/>
      <c r="K94" s="66"/>
      <c r="L94" s="66"/>
      <c r="M94" s="66"/>
      <c r="N94" s="66"/>
      <c r="O94" s="66"/>
      <c r="P94" s="22"/>
      <c r="Q94" s="22"/>
    </row>
    <row r="95" spans="1:17" s="67" customFormat="1" ht="12.75" customHeight="1" x14ac:dyDescent="0.25">
      <c r="A95" s="30"/>
      <c r="B95" s="65"/>
      <c r="C95" s="66"/>
      <c r="D95" s="73">
        <v>3.5000000000000003E-2</v>
      </c>
      <c r="E95" s="74">
        <v>841.52481561382751</v>
      </c>
      <c r="F95" s="74">
        <v>734.35543906782607</v>
      </c>
      <c r="G95" s="74">
        <v>694.54822469279497</v>
      </c>
      <c r="H95" s="74">
        <v>612.98891160195512</v>
      </c>
      <c r="I95" s="75">
        <v>582.14589096477835</v>
      </c>
      <c r="J95" s="76"/>
      <c r="K95" s="66"/>
      <c r="L95" s="66"/>
      <c r="M95" s="66"/>
      <c r="N95" s="66"/>
      <c r="O95" s="66"/>
      <c r="P95" s="22"/>
      <c r="Q95" s="22"/>
    </row>
    <row r="96" spans="1:17" s="67" customFormat="1" ht="12.75" customHeight="1" x14ac:dyDescent="0.25">
      <c r="A96" s="30"/>
      <c r="B96" s="65"/>
      <c r="C96" s="77" t="s">
        <v>65</v>
      </c>
      <c r="D96" s="73">
        <v>0.04</v>
      </c>
      <c r="E96" s="74">
        <v>932.46230048341374</v>
      </c>
      <c r="F96" s="74">
        <v>807.79920332604502</v>
      </c>
      <c r="G96" s="74">
        <v>762.00303639238416</v>
      </c>
      <c r="H96" s="74">
        <v>669.01964938397964</v>
      </c>
      <c r="I96" s="75">
        <v>634.14952760865629</v>
      </c>
      <c r="J96" s="76"/>
      <c r="K96" s="78" t="s">
        <v>66</v>
      </c>
      <c r="L96" s="66"/>
      <c r="M96" s="66"/>
      <c r="N96" s="66"/>
      <c r="O96" s="66"/>
      <c r="P96" s="22"/>
      <c r="Q96" s="22"/>
    </row>
    <row r="97" spans="1:17" s="67" customFormat="1" ht="12.75" customHeight="1" x14ac:dyDescent="0.25">
      <c r="A97" s="30"/>
      <c r="B97" s="65"/>
      <c r="C97" s="66"/>
      <c r="D97" s="73">
        <v>4.4999999999999998E-2</v>
      </c>
      <c r="E97" s="74">
        <v>1039.933873511106</v>
      </c>
      <c r="F97" s="74">
        <v>893.08873601300888</v>
      </c>
      <c r="G97" s="74">
        <v>839.83551143037153</v>
      </c>
      <c r="H97" s="74">
        <v>732.8324340801737</v>
      </c>
      <c r="I97" s="75">
        <v>693.08698247171799</v>
      </c>
      <c r="J97" s="76"/>
      <c r="K97" s="66"/>
      <c r="L97" s="66"/>
      <c r="M97" s="66"/>
      <c r="N97" s="66"/>
      <c r="O97" s="66"/>
      <c r="P97" s="22"/>
      <c r="Q97" s="22"/>
    </row>
    <row r="98" spans="1:17" s="67" customFormat="1" ht="12.75" customHeight="1" x14ac:dyDescent="0.25">
      <c r="A98" s="30"/>
      <c r="B98" s="65"/>
      <c r="C98" s="66"/>
      <c r="D98" s="73">
        <v>0.05</v>
      </c>
      <c r="E98" s="74">
        <v>1168.8997611443376</v>
      </c>
      <c r="F98" s="74">
        <v>993.34134460996654</v>
      </c>
      <c r="G98" s="74">
        <v>930.64006564135695</v>
      </c>
      <c r="H98" s="74">
        <v>806.16951499968059</v>
      </c>
      <c r="I98" s="75">
        <v>760.44407374378875</v>
      </c>
      <c r="J98" s="76"/>
      <c r="K98" s="66"/>
      <c r="L98" s="66"/>
      <c r="M98" s="66"/>
      <c r="N98" s="66"/>
      <c r="O98" s="66"/>
      <c r="P98" s="22"/>
      <c r="Q98" s="22"/>
    </row>
    <row r="99" spans="1:17" s="67" customFormat="1" ht="12.75" customHeight="1" thickBot="1" x14ac:dyDescent="0.3">
      <c r="A99" s="30"/>
      <c r="B99" s="65"/>
      <c r="C99" s="66"/>
      <c r="D99" s="79">
        <v>5.5E-2</v>
      </c>
      <c r="E99" s="80">
        <v>1326.5247349182862</v>
      </c>
      <c r="F99" s="80">
        <v>1112.8733010140306</v>
      </c>
      <c r="G99" s="80">
        <v>1037.9545387997944</v>
      </c>
      <c r="H99" s="80">
        <v>891.33515735781725</v>
      </c>
      <c r="I99" s="81">
        <v>838.16379444233132</v>
      </c>
      <c r="J99" s="76"/>
      <c r="K99" s="66"/>
      <c r="L99" s="66"/>
      <c r="M99" s="66"/>
      <c r="N99" s="66"/>
      <c r="O99" s="66"/>
      <c r="P99" s="22"/>
      <c r="Q99" s="22"/>
    </row>
    <row r="100" spans="1:17" s="67" customFormat="1" ht="12.75" customHeight="1" x14ac:dyDescent="0.25">
      <c r="A100" s="30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22"/>
      <c r="Q100" s="22"/>
    </row>
    <row r="101" spans="1:17" s="67" customFormat="1" ht="12.75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s="67" customFormat="1" ht="12.75" customHeight="1" x14ac:dyDescent="0.25">
      <c r="A102" s="30"/>
      <c r="B102" s="30"/>
      <c r="C102" s="30"/>
      <c r="D102" s="82"/>
      <c r="E102" s="82"/>
      <c r="F102" s="8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s="67" customFormat="1" ht="12.75" customHeight="1" x14ac:dyDescent="0.25">
      <c r="A103" s="30"/>
      <c r="B103" s="30"/>
      <c r="C103" s="30"/>
      <c r="D103" s="82"/>
      <c r="E103" s="82"/>
      <c r="F103" s="83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s="67" customFormat="1" ht="12.75" customHeight="1" x14ac:dyDescent="0.25">
      <c r="A104" s="30"/>
      <c r="B104" s="30"/>
      <c r="C104" s="30"/>
      <c r="D104" s="82"/>
      <c r="E104" s="82"/>
      <c r="F104" s="83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s="67" customFormat="1" ht="12.75" customHeight="1" x14ac:dyDescent="0.25">
      <c r="A105" s="30"/>
      <c r="B105" s="30"/>
      <c r="C105" s="30"/>
      <c r="D105" s="83"/>
      <c r="E105" s="83"/>
      <c r="F105" s="83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s="67" customFormat="1" ht="12.75" customHeight="1" x14ac:dyDescent="0.25">
      <c r="A106" s="30"/>
      <c r="B106" s="30"/>
      <c r="C106" s="30"/>
      <c r="D106" s="83"/>
      <c r="E106" s="83"/>
      <c r="F106" s="83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s="67" customFormat="1" ht="12.75" customHeight="1" x14ac:dyDescent="0.25">
      <c r="A107" s="30"/>
      <c r="B107" s="30"/>
      <c r="C107" s="30"/>
      <c r="D107" s="83"/>
      <c r="E107" s="83"/>
      <c r="F107" s="83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s="67" customFormat="1" ht="12.75" customHeight="1" x14ac:dyDescent="0.25">
      <c r="A108" s="30"/>
      <c r="B108" s="30"/>
      <c r="C108" s="30"/>
      <c r="D108" s="83"/>
      <c r="E108" s="83"/>
      <c r="F108" s="83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s="67" customFormat="1" ht="12.75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s="67" customFormat="1" ht="12.75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s="67" customFormat="1" ht="12.75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s="67" customFormat="1" ht="12.75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x14ac:dyDescent="0.25">
      <c r="A113" s="3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5">
      <c r="A114" s="67"/>
    </row>
    <row r="115" spans="1:17" x14ac:dyDescent="0.25">
      <c r="A115" s="67"/>
    </row>
    <row r="116" spans="1:17" x14ac:dyDescent="0.25">
      <c r="A116" s="67"/>
    </row>
    <row r="117" spans="1:17" x14ac:dyDescent="0.25">
      <c r="A117" s="67"/>
    </row>
    <row r="118" spans="1:17" x14ac:dyDescent="0.25">
      <c r="A118" s="67"/>
    </row>
    <row r="119" spans="1:17" x14ac:dyDescent="0.25">
      <c r="A119" s="6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zoomScale="120" zoomScaleNormal="120" workbookViewId="0"/>
  </sheetViews>
  <sheetFormatPr defaultColWidth="9.28515625" defaultRowHeight="15" x14ac:dyDescent="0.25"/>
  <cols>
    <col min="1" max="1" width="42.5703125" style="3" customWidth="1"/>
    <col min="2" max="2" width="3.85546875" style="3" customWidth="1"/>
    <col min="3" max="3" width="15.140625" style="3" customWidth="1"/>
    <col min="4" max="5" width="10.85546875" style="3" customWidth="1"/>
    <col min="6" max="6" width="16.5703125" style="3" bestFit="1" customWidth="1"/>
    <col min="7" max="7" width="13.42578125" style="3" customWidth="1"/>
    <col min="8" max="8" width="13.7109375" style="3" customWidth="1"/>
    <col min="9" max="9" width="14.140625" style="3" customWidth="1"/>
    <col min="10" max="10" width="14.5703125" style="3" customWidth="1"/>
    <col min="11" max="11" width="14.28515625" style="3" bestFit="1" customWidth="1"/>
    <col min="12" max="12" width="15.7109375" style="3" customWidth="1"/>
    <col min="13" max="14" width="3.28515625" style="3" customWidth="1"/>
    <col min="15" max="16384" width="9.28515625" style="3"/>
  </cols>
  <sheetData>
    <row r="1" spans="1: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5" customFormat="1" x14ac:dyDescent="0.25">
      <c r="A4" s="4" t="s">
        <v>3</v>
      </c>
      <c r="D4" s="6" t="s">
        <v>4</v>
      </c>
      <c r="E4" s="6" t="s">
        <v>5</v>
      </c>
      <c r="F4" s="6" t="s">
        <v>6</v>
      </c>
      <c r="G4" s="6" t="s">
        <v>67</v>
      </c>
      <c r="H4" s="6" t="s">
        <v>68</v>
      </c>
      <c r="I4" s="6" t="s">
        <v>7</v>
      </c>
      <c r="J4" s="6" t="s">
        <v>8</v>
      </c>
      <c r="K4" s="6" t="s">
        <v>9</v>
      </c>
    </row>
    <row r="5" spans="1:18" x14ac:dyDescent="0.25">
      <c r="A5" s="7" t="s">
        <v>12</v>
      </c>
      <c r="B5" s="7"/>
      <c r="C5" s="7"/>
      <c r="D5" s="7"/>
      <c r="E5" s="7"/>
      <c r="F5" s="7"/>
      <c r="G5" s="7"/>
      <c r="H5" s="7"/>
      <c r="I5" s="7"/>
      <c r="J5" s="7"/>
      <c r="K5" s="7"/>
      <c r="L5" s="2"/>
      <c r="M5" s="2"/>
      <c r="N5" s="2"/>
      <c r="O5" s="2"/>
      <c r="P5" s="2"/>
      <c r="Q5" s="2"/>
      <c r="R5" s="2"/>
    </row>
    <row r="6" spans="1:18" x14ac:dyDescent="0.25">
      <c r="A6" s="8" t="s">
        <v>13</v>
      </c>
      <c r="B6" s="8"/>
      <c r="C6" s="8"/>
      <c r="D6" s="8"/>
      <c r="E6" s="8"/>
      <c r="F6" s="8"/>
      <c r="G6" s="8"/>
      <c r="H6" s="8"/>
      <c r="I6" s="8"/>
      <c r="J6" s="8"/>
      <c r="K6" s="8"/>
      <c r="L6" s="2"/>
      <c r="M6" s="2"/>
      <c r="N6" s="2"/>
      <c r="O6" s="2"/>
      <c r="P6" s="2"/>
      <c r="Q6" s="2"/>
      <c r="R6" s="2"/>
    </row>
    <row r="7" spans="1:18" x14ac:dyDescent="0.25">
      <c r="A7" s="9" t="s">
        <v>14</v>
      </c>
      <c r="B7" s="2"/>
      <c r="C7" s="2"/>
      <c r="D7" s="2"/>
      <c r="E7" s="2"/>
      <c r="F7" s="2"/>
      <c r="G7" s="98">
        <v>58450.768269801032</v>
      </c>
      <c r="H7" s="98">
        <v>76692.437072161178</v>
      </c>
      <c r="I7" s="98">
        <v>99736.52166207289</v>
      </c>
      <c r="J7" s="98">
        <v>129047.14980312789</v>
      </c>
      <c r="K7" s="98">
        <v>166393.38653043925</v>
      </c>
      <c r="L7" s="2"/>
      <c r="M7" s="2"/>
      <c r="N7" s="2"/>
      <c r="O7" s="2"/>
      <c r="P7" s="2"/>
      <c r="Q7" s="2"/>
      <c r="R7" s="2"/>
    </row>
    <row r="8" spans="1:18" x14ac:dyDescent="0.25">
      <c r="A8" s="9" t="s">
        <v>15</v>
      </c>
      <c r="B8" s="2"/>
      <c r="C8" s="2"/>
      <c r="D8" s="2"/>
      <c r="E8" s="2"/>
      <c r="F8" s="2"/>
      <c r="G8" s="99">
        <v>14905.172807485606</v>
      </c>
      <c r="H8" s="99">
        <v>18275.61390112825</v>
      </c>
      <c r="I8" s="99">
        <v>22514.654134837681</v>
      </c>
      <c r="J8" s="99">
        <v>27856.475443631105</v>
      </c>
      <c r="K8" s="99">
        <v>34601.327325542305</v>
      </c>
      <c r="L8" s="2"/>
      <c r="M8" s="2"/>
      <c r="N8" s="2"/>
      <c r="O8" s="2"/>
      <c r="P8" s="2"/>
      <c r="Q8" s="2"/>
      <c r="R8" s="2"/>
    </row>
    <row r="9" spans="1:18" x14ac:dyDescent="0.25">
      <c r="A9" s="11" t="s">
        <v>16</v>
      </c>
      <c r="B9" s="2"/>
      <c r="C9" s="2"/>
      <c r="D9" s="2"/>
      <c r="E9" s="2"/>
      <c r="F9" s="2"/>
      <c r="G9" s="99">
        <v>12122.978365993473</v>
      </c>
      <c r="H9" s="99">
        <v>10693.082254836889</v>
      </c>
      <c r="I9" s="99">
        <v>9907.2243024124837</v>
      </c>
      <c r="J9" s="99">
        <v>9016.0492135690693</v>
      </c>
      <c r="K9" s="99">
        <v>8321.7455999999984</v>
      </c>
      <c r="L9" s="2"/>
      <c r="M9" s="2"/>
      <c r="N9" s="2"/>
      <c r="O9" s="2"/>
      <c r="P9" s="2"/>
      <c r="Q9" s="2"/>
      <c r="R9" s="2"/>
    </row>
    <row r="10" spans="1:18" x14ac:dyDescent="0.25">
      <c r="A10" s="9" t="s">
        <v>17</v>
      </c>
      <c r="B10" s="2"/>
      <c r="C10" s="2"/>
      <c r="D10" s="2"/>
      <c r="E10" s="2"/>
      <c r="F10" s="2"/>
      <c r="G10" s="99">
        <v>-12503.132161738176</v>
      </c>
      <c r="H10" s="99">
        <v>-19933.520422434493</v>
      </c>
      <c r="I10" s="99">
        <v>-25279.468183233344</v>
      </c>
      <c r="J10" s="99">
        <v>-32123.338108383585</v>
      </c>
      <c r="K10" s="99">
        <v>-40908.285329443519</v>
      </c>
      <c r="L10" s="2"/>
      <c r="M10" s="2"/>
      <c r="N10" s="2"/>
      <c r="O10" s="2"/>
      <c r="P10" s="2"/>
      <c r="Q10" s="2"/>
      <c r="R10" s="2"/>
    </row>
    <row r="11" spans="1:18" x14ac:dyDescent="0.25">
      <c r="A11" s="9" t="s">
        <v>18</v>
      </c>
      <c r="B11" s="2"/>
      <c r="C11" s="2"/>
      <c r="D11" s="2"/>
      <c r="E11" s="2"/>
      <c r="F11" s="2"/>
      <c r="G11" s="100">
        <v>-34525.639585200006</v>
      </c>
      <c r="H11" s="100">
        <v>-43376.898653555996</v>
      </c>
      <c r="I11" s="100">
        <v>-54601.966642461251</v>
      </c>
      <c r="J11" s="100">
        <v>-68865.979306159628</v>
      </c>
      <c r="K11" s="100">
        <v>-87030.850529087649</v>
      </c>
      <c r="L11" s="2"/>
      <c r="M11" s="2"/>
      <c r="N11" s="2"/>
      <c r="O11" s="2"/>
      <c r="P11" s="2"/>
      <c r="Q11" s="2"/>
      <c r="R11" s="2"/>
    </row>
    <row r="12" spans="1:18" ht="15.75" thickBot="1" x14ac:dyDescent="0.3">
      <c r="A12" s="13" t="s">
        <v>19</v>
      </c>
      <c r="B12" s="14"/>
      <c r="C12" s="14"/>
      <c r="D12" s="14"/>
      <c r="E12" s="14"/>
      <c r="F12" s="14"/>
      <c r="G12" s="94">
        <f>SUM(G7:G11)</f>
        <v>38450.147696341934</v>
      </c>
      <c r="H12" s="94">
        <f t="shared" ref="H12:K12" si="0">SUM(H7:H11)</f>
        <v>42350.714152135828</v>
      </c>
      <c r="I12" s="94">
        <f t="shared" si="0"/>
        <v>52276.965273628448</v>
      </c>
      <c r="J12" s="94">
        <f t="shared" si="0"/>
        <v>64930.357045784825</v>
      </c>
      <c r="K12" s="94">
        <f t="shared" si="0"/>
        <v>81377.323597450391</v>
      </c>
      <c r="L12" s="2"/>
      <c r="M12" s="2"/>
      <c r="N12" s="2"/>
      <c r="O12" s="2"/>
      <c r="P12" s="2"/>
      <c r="Q12" s="2"/>
      <c r="R12" s="2"/>
    </row>
    <row r="13" spans="1:18" ht="15.75" thickTop="1" x14ac:dyDescent="0.25">
      <c r="A13" s="1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17" t="s">
        <v>20</v>
      </c>
      <c r="B14" s="18"/>
      <c r="C14" s="18"/>
      <c r="D14" s="18"/>
      <c r="E14" s="18"/>
      <c r="F14" s="18"/>
      <c r="G14" s="18"/>
      <c r="H14" s="18"/>
      <c r="I14" s="18"/>
      <c r="J14" s="18"/>
      <c r="K14" s="19">
        <f>K12*(1+C25)/(C60-C25)</f>
        <v>1315581.7525938868</v>
      </c>
      <c r="L14" s="2"/>
      <c r="M14" s="2"/>
      <c r="N14" s="2"/>
      <c r="O14" s="2"/>
      <c r="P14" s="2"/>
      <c r="Q14" s="2"/>
      <c r="R14" s="2"/>
    </row>
    <row r="15" spans="1:1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20" t="s">
        <v>21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1" t="s">
        <v>69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84" t="s">
        <v>23</v>
      </c>
      <c r="B20" s="2"/>
      <c r="C20" s="24">
        <v>7.7200000000000005E-2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84" t="s">
        <v>24</v>
      </c>
      <c r="B21" s="2"/>
      <c r="C21" s="88">
        <v>0.89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8" t="s">
        <v>25</v>
      </c>
      <c r="B22" s="2"/>
      <c r="C22" s="89">
        <v>0.05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8" t="s">
        <v>26</v>
      </c>
      <c r="B23" s="2"/>
      <c r="C23" s="27">
        <f>C20+C21*C22</f>
        <v>0.1217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8"/>
      <c r="B24" s="2"/>
      <c r="C24" s="85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8" t="s">
        <v>70</v>
      </c>
      <c r="B25" s="2"/>
      <c r="C25" s="90">
        <v>4.4999999999999998E-2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3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31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3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32" t="s">
        <v>29</v>
      </c>
      <c r="B29" s="2"/>
      <c r="C29" s="33">
        <v>1153.5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32" t="s">
        <v>30</v>
      </c>
      <c r="B30" s="2"/>
      <c r="C30" s="34">
        <f>'[2]Income Statement'!F64</f>
        <v>587.93907484016427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32" t="s">
        <v>31</v>
      </c>
      <c r="B31" s="2"/>
      <c r="C31" s="34"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32" t="s">
        <v>32</v>
      </c>
      <c r="B32" s="2"/>
      <c r="C32" s="34">
        <f>C30+C31</f>
        <v>587.93907484016427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32"/>
      <c r="B33" s="2"/>
      <c r="C33" s="3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32" t="s">
        <v>33</v>
      </c>
      <c r="B34" s="2"/>
      <c r="C34" s="35">
        <f>C32*C29</f>
        <v>678187.72282812954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30"/>
      <c r="B35" s="2"/>
      <c r="C35" s="2"/>
      <c r="D35" s="2"/>
      <c r="E35" s="2"/>
      <c r="F35" s="2"/>
      <c r="G35" s="2"/>
      <c r="H35" s="2">
        <f>547+547</f>
        <v>1094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31" t="s">
        <v>34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31"/>
      <c r="B37" s="2"/>
      <c r="C37" s="2"/>
      <c r="D37" s="2"/>
      <c r="E37" s="2"/>
      <c r="F37" s="2"/>
      <c r="G37" s="2"/>
      <c r="H37" s="2">
        <f>1094+547</f>
        <v>1641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32" t="s">
        <v>35</v>
      </c>
      <c r="B38" s="2"/>
      <c r="C38" s="3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32" t="s">
        <v>36</v>
      </c>
      <c r="B39" s="2"/>
      <c r="C39" s="36">
        <f>'[2]Balance Sheet'!E26</f>
        <v>33684.800000000003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32" t="s">
        <v>37</v>
      </c>
      <c r="B40" s="2"/>
      <c r="C40" s="36">
        <f>'[2]Balance Sheet'!E19</f>
        <v>198602.59999999998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32" t="s">
        <v>38</v>
      </c>
      <c r="B41" s="2"/>
      <c r="C41" s="34">
        <v>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32" t="s">
        <v>39</v>
      </c>
      <c r="B42" s="2"/>
      <c r="C42" s="35">
        <f>C39+C40</f>
        <v>232287.39999999997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3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3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32" t="s">
        <v>41</v>
      </c>
      <c r="B46" s="2"/>
      <c r="C46" s="37">
        <f>C34/(C34+C42)</f>
        <v>0.74487232635366707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32" t="s">
        <v>42</v>
      </c>
      <c r="B47" s="2"/>
      <c r="C47" s="37">
        <f>C42/(C34+C42)</f>
        <v>0.25512767364633299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thickBot="1" x14ac:dyDescent="0.3">
      <c r="A48" s="3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thickBot="1" x14ac:dyDescent="0.3">
      <c r="A49" s="39" t="s">
        <v>43</v>
      </c>
      <c r="B49" s="20"/>
      <c r="C49" s="40">
        <f>C42/C34</f>
        <v>0.34251195086713132</v>
      </c>
      <c r="D49" s="41"/>
      <c r="E49" s="20"/>
      <c r="F49" s="20"/>
      <c r="G49" s="20"/>
      <c r="H49" s="20"/>
      <c r="I49" s="20"/>
      <c r="J49" s="20"/>
      <c r="K49" s="20"/>
      <c r="L49" s="2"/>
      <c r="M49" s="2"/>
      <c r="N49" s="2"/>
      <c r="O49" s="2"/>
      <c r="P49" s="2"/>
      <c r="Q49" s="2"/>
      <c r="R49" s="2"/>
    </row>
    <row r="50" spans="1:18" x14ac:dyDescent="0.25">
      <c r="A50" s="3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42" t="s">
        <v>44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3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43" t="s">
        <v>45</v>
      </c>
      <c r="B53" s="2"/>
      <c r="C53" s="44">
        <f>C20</f>
        <v>7.7200000000000005E-2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43" t="s">
        <v>46</v>
      </c>
      <c r="B54" s="2"/>
      <c r="C54" s="44">
        <f>C22</f>
        <v>0.05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43" t="s">
        <v>47</v>
      </c>
      <c r="B55" s="2"/>
      <c r="C55" s="45">
        <f>C21</f>
        <v>0.89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43" t="s">
        <v>26</v>
      </c>
      <c r="B56" s="2"/>
      <c r="C56" s="44">
        <f>C23</f>
        <v>0.1217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43" t="s">
        <v>48</v>
      </c>
      <c r="B57" s="2"/>
      <c r="C57" s="44">
        <f>-'[2]Income Statement'!F39/'[2]Balance Sheet'!E19</f>
        <v>0.10855144897398121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43" t="s">
        <v>49</v>
      </c>
      <c r="B58" s="2"/>
      <c r="C58" s="46">
        <f>'[2]Income Statement'!F70</f>
        <v>0.31433578777034532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43" t="s">
        <v>50</v>
      </c>
      <c r="B59" s="2"/>
      <c r="C59" s="47">
        <f>C57*(1-C58)</f>
        <v>7.4429843747132379E-2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43" t="s">
        <v>51</v>
      </c>
      <c r="B60" s="2"/>
      <c r="C60" s="48">
        <f>C56*C46+C59*C47</f>
        <v>0.10964007500230724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3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49" t="s">
        <v>52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"/>
      <c r="M62" s="2"/>
      <c r="N62" s="2"/>
      <c r="O62" s="2"/>
      <c r="P62" s="2"/>
      <c r="Q62" s="2"/>
      <c r="R62" s="2"/>
    </row>
    <row r="63" spans="1:18" x14ac:dyDescent="0.25">
      <c r="A63" s="4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"/>
      <c r="M63" s="2"/>
      <c r="N63" s="2"/>
      <c r="O63" s="2"/>
      <c r="P63" s="2"/>
      <c r="Q63" s="2"/>
      <c r="R63" s="2"/>
    </row>
    <row r="64" spans="1:18" x14ac:dyDescent="0.25">
      <c r="A64" s="22"/>
      <c r="B64" s="2"/>
      <c r="C64" s="2"/>
      <c r="D64" s="2"/>
      <c r="E64" s="2"/>
      <c r="F64" s="50">
        <v>41670</v>
      </c>
      <c r="G64" s="50">
        <v>41729</v>
      </c>
      <c r="H64" s="50">
        <v>42094</v>
      </c>
      <c r="I64" s="50">
        <v>42460</v>
      </c>
      <c r="J64" s="50">
        <v>42825</v>
      </c>
      <c r="K64" s="50">
        <v>43190</v>
      </c>
      <c r="L64" s="2"/>
      <c r="M64" s="2"/>
      <c r="N64" s="2"/>
      <c r="O64" s="2"/>
      <c r="P64" s="2"/>
      <c r="Q64" s="2"/>
      <c r="R64" s="2"/>
    </row>
    <row r="65" spans="1:18" x14ac:dyDescent="0.25">
      <c r="A65" s="38" t="s">
        <v>53</v>
      </c>
      <c r="B65" s="2"/>
      <c r="C65" s="2"/>
      <c r="D65" s="2"/>
      <c r="E65" s="2"/>
      <c r="F65" s="2">
        <v>0</v>
      </c>
      <c r="G65" s="51">
        <f>G12</f>
        <v>38450.147696341934</v>
      </c>
      <c r="H65" s="51">
        <f t="shared" ref="H65:K65" si="1">H12</f>
        <v>42350.714152135828</v>
      </c>
      <c r="I65" s="51">
        <f t="shared" si="1"/>
        <v>52276.965273628448</v>
      </c>
      <c r="J65" s="51">
        <f t="shared" si="1"/>
        <v>64930.357045784825</v>
      </c>
      <c r="K65" s="51">
        <f t="shared" si="1"/>
        <v>81377.323597450391</v>
      </c>
      <c r="L65" s="2"/>
      <c r="M65" s="2"/>
      <c r="N65" s="2"/>
      <c r="O65" s="2"/>
      <c r="P65" s="2"/>
      <c r="Q65" s="2"/>
      <c r="R65" s="2"/>
    </row>
    <row r="66" spans="1:18" ht="15.75" thickBot="1" x14ac:dyDescent="0.3">
      <c r="A66" s="52" t="s">
        <v>54</v>
      </c>
      <c r="B66" s="52"/>
      <c r="C66" s="52" t="s">
        <v>55</v>
      </c>
      <c r="D66" s="52"/>
      <c r="E66" s="52"/>
      <c r="F66" s="87">
        <f>XNPV(C60,F65:K65,F64:K64)</f>
        <v>216557.56219752095</v>
      </c>
      <c r="G66" s="52"/>
      <c r="H66" s="52"/>
      <c r="I66" s="52"/>
      <c r="J66" s="52"/>
      <c r="K66" s="52"/>
      <c r="L66" s="2"/>
      <c r="M66" s="2"/>
      <c r="N66" s="2"/>
      <c r="O66" s="2"/>
      <c r="P66" s="2"/>
      <c r="Q66" s="2"/>
      <c r="R66" s="2"/>
    </row>
    <row r="67" spans="1:18" ht="15.75" thickTop="1" x14ac:dyDescent="0.25">
      <c r="A67" s="2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49" t="s">
        <v>56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"/>
      <c r="M69" s="2"/>
      <c r="N69" s="2"/>
      <c r="O69" s="2"/>
      <c r="P69" s="2"/>
      <c r="Q69" s="2"/>
      <c r="R69" s="2"/>
    </row>
    <row r="70" spans="1:18" x14ac:dyDescent="0.25">
      <c r="A70" s="2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2"/>
      <c r="B71" s="2"/>
      <c r="C71" s="2"/>
      <c r="D71" s="2"/>
      <c r="E71" s="2"/>
      <c r="F71" s="50">
        <v>41670</v>
      </c>
      <c r="G71" s="50">
        <v>41729</v>
      </c>
      <c r="H71" s="50">
        <v>42094</v>
      </c>
      <c r="I71" s="50">
        <v>42460</v>
      </c>
      <c r="J71" s="50">
        <v>42825</v>
      </c>
      <c r="K71" s="50">
        <v>43190</v>
      </c>
      <c r="L71" s="2"/>
      <c r="M71" s="2"/>
      <c r="N71" s="2"/>
      <c r="O71" s="2"/>
      <c r="P71" s="2"/>
      <c r="Q71" s="2"/>
      <c r="R71" s="2"/>
    </row>
    <row r="72" spans="1:18" x14ac:dyDescent="0.25">
      <c r="A72" s="38" t="s">
        <v>20</v>
      </c>
      <c r="B72" s="2"/>
      <c r="C72" s="2"/>
      <c r="D72" s="2"/>
      <c r="E72" s="2"/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55">
        <f>K14</f>
        <v>1315581.7525938868</v>
      </c>
      <c r="L72" s="2"/>
      <c r="M72" s="2"/>
      <c r="N72" s="2"/>
      <c r="O72" s="2"/>
      <c r="P72" s="2"/>
      <c r="Q72" s="2"/>
      <c r="R72" s="2"/>
    </row>
    <row r="73" spans="1:18" ht="15.75" thickBot="1" x14ac:dyDescent="0.3">
      <c r="A73" s="52" t="s">
        <v>54</v>
      </c>
      <c r="B73" s="52"/>
      <c r="C73" s="52" t="s">
        <v>55</v>
      </c>
      <c r="D73" s="52"/>
      <c r="E73" s="52"/>
      <c r="F73" s="87">
        <f>XNPV(C60,F72:K72,F71:K71)</f>
        <v>853025.68666053237</v>
      </c>
      <c r="G73" s="52"/>
      <c r="H73" s="52"/>
      <c r="I73" s="52"/>
      <c r="J73" s="52"/>
      <c r="K73" s="52"/>
      <c r="L73" s="2"/>
      <c r="M73" s="2"/>
      <c r="N73" s="2"/>
      <c r="O73" s="2"/>
      <c r="P73" s="2"/>
      <c r="Q73" s="2"/>
      <c r="R73" s="2"/>
    </row>
    <row r="74" spans="1:18" ht="15.75" thickTop="1" x14ac:dyDescent="0.25">
      <c r="A74" s="2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49" t="s">
        <v>57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"/>
      <c r="M77" s="2"/>
      <c r="N77" s="2"/>
      <c r="O77" s="2"/>
      <c r="P77" s="2"/>
      <c r="Q77" s="2"/>
      <c r="R77" s="2"/>
    </row>
    <row r="78" spans="1:18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"/>
      <c r="M78" s="2"/>
      <c r="N78" s="2"/>
      <c r="O78" s="2"/>
      <c r="P78" s="2"/>
      <c r="Q78" s="2"/>
      <c r="R78" s="2"/>
    </row>
    <row r="79" spans="1:18" ht="15.75" thickBot="1" x14ac:dyDescent="0.3">
      <c r="A79" s="56" t="s">
        <v>58</v>
      </c>
      <c r="B79" s="56"/>
      <c r="C79" s="56"/>
      <c r="D79" s="57"/>
      <c r="E79" s="57"/>
      <c r="F79" s="57"/>
      <c r="G79" s="57"/>
      <c r="H79" s="57"/>
      <c r="I79" s="57"/>
      <c r="J79" s="57"/>
      <c r="K79" s="57"/>
      <c r="L79" s="2"/>
      <c r="M79" s="2"/>
      <c r="N79" s="2"/>
      <c r="O79" s="2"/>
      <c r="P79" s="2"/>
      <c r="Q79" s="2"/>
      <c r="R79" s="2"/>
    </row>
    <row r="80" spans="1:18" s="60" customFormat="1" x14ac:dyDescent="0.25">
      <c r="A80" s="101" t="str">
        <f>"DCF calculation as of"</f>
        <v>DCF calculation as of</v>
      </c>
      <c r="B80" s="111"/>
      <c r="C80" s="102"/>
      <c r="D80" s="58"/>
      <c r="E80" s="58"/>
      <c r="F80" s="58"/>
      <c r="G80" s="58"/>
      <c r="H80" s="58"/>
      <c r="I80" s="58"/>
      <c r="J80" s="58"/>
      <c r="K80" s="58"/>
      <c r="L80" s="59"/>
      <c r="M80" s="59"/>
      <c r="N80" s="59"/>
      <c r="O80" s="59"/>
      <c r="P80" s="59"/>
      <c r="Q80" s="59"/>
      <c r="R80" s="59"/>
    </row>
    <row r="81" spans="1:18" s="60" customFormat="1" x14ac:dyDescent="0.25">
      <c r="A81" s="103" t="s">
        <v>54</v>
      </c>
      <c r="B81" s="38"/>
      <c r="C81" s="104">
        <f>F66</f>
        <v>216557.56219752095</v>
      </c>
      <c r="D81" s="38"/>
      <c r="E81" s="38"/>
      <c r="F81" s="38"/>
      <c r="G81" s="38"/>
      <c r="H81" s="38"/>
      <c r="I81" s="38"/>
      <c r="J81" s="38"/>
      <c r="K81" s="38"/>
      <c r="L81" s="59"/>
      <c r="M81" s="59"/>
      <c r="N81" s="59"/>
      <c r="O81" s="59"/>
      <c r="P81" s="59"/>
      <c r="Q81" s="59"/>
      <c r="R81" s="59"/>
    </row>
    <row r="82" spans="1:18" s="60" customFormat="1" x14ac:dyDescent="0.25">
      <c r="A82" s="103" t="s">
        <v>71</v>
      </c>
      <c r="B82" s="38"/>
      <c r="C82" s="105">
        <f>F73</f>
        <v>853025.68666053237</v>
      </c>
      <c r="D82" s="38"/>
      <c r="E82" s="38"/>
      <c r="F82" s="38"/>
      <c r="G82" s="38"/>
      <c r="H82" s="38"/>
      <c r="I82" s="38"/>
      <c r="J82" s="38"/>
      <c r="K82" s="38"/>
      <c r="L82" s="59"/>
      <c r="M82" s="59"/>
      <c r="N82" s="59"/>
      <c r="O82" s="59"/>
      <c r="P82" s="59"/>
      <c r="Q82" s="59"/>
      <c r="R82" s="59"/>
    </row>
    <row r="83" spans="1:18" s="60" customFormat="1" ht="15.75" thickBot="1" x14ac:dyDescent="0.3">
      <c r="A83" s="106" t="s">
        <v>61</v>
      </c>
      <c r="B83" s="61"/>
      <c r="C83" s="107">
        <f>C81+C82</f>
        <v>1069583.2488580532</v>
      </c>
      <c r="D83" s="38"/>
      <c r="E83" s="38"/>
      <c r="F83" s="38"/>
      <c r="G83" s="38"/>
      <c r="H83" s="38"/>
      <c r="I83" s="38"/>
      <c r="J83" s="38"/>
      <c r="K83" s="38"/>
      <c r="L83" s="59"/>
      <c r="M83" s="59"/>
      <c r="N83" s="59"/>
      <c r="O83" s="59"/>
      <c r="P83" s="59"/>
      <c r="Q83" s="59"/>
      <c r="R83" s="59"/>
    </row>
    <row r="84" spans="1:18" s="60" customFormat="1" ht="15.75" thickTop="1" x14ac:dyDescent="0.25">
      <c r="A84" s="103" t="s">
        <v>62</v>
      </c>
      <c r="B84" s="38"/>
      <c r="C84" s="104">
        <f>C42-'[2]Balance Sheet'!E57</f>
        <v>184685.39999999997</v>
      </c>
      <c r="D84" s="38"/>
      <c r="E84" s="38"/>
      <c r="F84" s="38"/>
      <c r="G84" s="38"/>
      <c r="H84" s="38"/>
      <c r="I84" s="38"/>
      <c r="J84" s="38"/>
      <c r="K84" s="38"/>
      <c r="L84" s="59"/>
      <c r="M84" s="59"/>
      <c r="N84" s="59"/>
      <c r="O84" s="59"/>
      <c r="P84" s="59"/>
      <c r="Q84" s="59"/>
      <c r="R84" s="59"/>
    </row>
    <row r="85" spans="1:18" s="60" customFormat="1" x14ac:dyDescent="0.25">
      <c r="A85" s="103" t="s">
        <v>63</v>
      </c>
      <c r="B85" s="38"/>
      <c r="C85" s="108">
        <f>C83-C84</f>
        <v>884897.84885805333</v>
      </c>
      <c r="D85" s="38"/>
      <c r="E85" s="38"/>
      <c r="F85" s="38"/>
      <c r="G85" s="38"/>
      <c r="H85" s="38"/>
      <c r="I85" s="38"/>
      <c r="J85" s="38"/>
      <c r="K85" s="38"/>
      <c r="L85" s="59"/>
      <c r="M85" s="59"/>
      <c r="N85" s="59"/>
      <c r="O85" s="59"/>
      <c r="P85" s="59"/>
      <c r="Q85" s="59"/>
      <c r="R85" s="59"/>
    </row>
    <row r="86" spans="1:18" s="60" customFormat="1" ht="15.75" thickBot="1" x14ac:dyDescent="0.3">
      <c r="A86" s="109" t="s">
        <v>72</v>
      </c>
      <c r="B86" s="62"/>
      <c r="C86" s="110">
        <f>C85/C30</f>
        <v>1505.0842625124374</v>
      </c>
      <c r="D86" s="38"/>
      <c r="E86" s="38"/>
      <c r="F86" s="38"/>
      <c r="G86" s="38"/>
      <c r="H86" s="38"/>
      <c r="I86" s="38"/>
      <c r="J86" s="38"/>
      <c r="K86" s="38"/>
      <c r="L86" s="59"/>
      <c r="M86" s="59"/>
      <c r="N86" s="59"/>
      <c r="O86" s="59"/>
      <c r="P86" s="59"/>
      <c r="Q86" s="59"/>
      <c r="R86" s="59"/>
    </row>
    <row r="87" spans="1:18" x14ac:dyDescent="0.25">
      <c r="A87" s="22"/>
      <c r="B87" s="22"/>
      <c r="C87" s="22"/>
      <c r="D87" s="22"/>
      <c r="E87" s="63"/>
      <c r="F87" s="22"/>
      <c r="G87" s="22"/>
      <c r="H87" s="22"/>
      <c r="I87" s="22"/>
      <c r="J87" s="22"/>
      <c r="K87" s="22"/>
      <c r="L87" s="2"/>
      <c r="M87" s="2"/>
      <c r="N87" s="2"/>
      <c r="O87" s="2"/>
      <c r="P87" s="2"/>
      <c r="Q87" s="2"/>
      <c r="R87" s="2"/>
    </row>
    <row r="88" spans="1:18" x14ac:dyDescent="0.25">
      <c r="A88" s="2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thickBot="1" x14ac:dyDescent="0.3">
      <c r="A89" s="64" t="s">
        <v>64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2"/>
      <c r="M89" s="2"/>
      <c r="N89" s="2"/>
      <c r="O89" s="2"/>
      <c r="P89" s="2"/>
      <c r="Q89" s="2"/>
      <c r="R89" s="2"/>
    </row>
    <row r="90" spans="1:18" x14ac:dyDescent="0.25">
      <c r="A90" s="2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s="67" customFormat="1" ht="12.75" customHeight="1" x14ac:dyDescent="0.25">
      <c r="A91" s="30"/>
      <c r="B91" s="22"/>
      <c r="C91" s="65"/>
      <c r="D91" s="30"/>
      <c r="E91" s="30"/>
      <c r="F91" s="30"/>
      <c r="G91" s="30"/>
      <c r="H91" s="30"/>
      <c r="I91" s="30"/>
      <c r="J91" s="30"/>
      <c r="K91" s="30"/>
      <c r="L91" s="66"/>
      <c r="M91" s="66"/>
      <c r="N91" s="66"/>
      <c r="O91" s="66"/>
      <c r="P91" s="66"/>
      <c r="Q91" s="22"/>
      <c r="R91" s="22"/>
    </row>
    <row r="92" spans="1:18" s="67" customFormat="1" ht="12.75" customHeight="1" thickBot="1" x14ac:dyDescent="0.3">
      <c r="A92" s="30"/>
      <c r="B92" s="22"/>
      <c r="C92" s="65"/>
      <c r="D92" s="66"/>
      <c r="E92" s="10"/>
      <c r="F92" s="10"/>
      <c r="G92" s="10" t="s">
        <v>51</v>
      </c>
      <c r="H92" s="10"/>
      <c r="I92" s="10"/>
      <c r="J92" s="10"/>
      <c r="K92" s="10"/>
      <c r="L92" s="30"/>
      <c r="M92" s="66"/>
      <c r="N92" s="66"/>
      <c r="O92" s="66"/>
      <c r="P92" s="66"/>
      <c r="Q92" s="22"/>
      <c r="R92" s="22"/>
    </row>
    <row r="93" spans="1:18" s="67" customFormat="1" ht="12.75" customHeight="1" x14ac:dyDescent="0.25">
      <c r="A93" s="30"/>
      <c r="B93" s="22"/>
      <c r="C93" s="65"/>
      <c r="D93" s="66"/>
      <c r="E93" s="68">
        <f>C86</f>
        <v>1505.0842625124374</v>
      </c>
      <c r="F93" s="69">
        <v>0.1</v>
      </c>
      <c r="G93" s="70">
        <v>0.107</v>
      </c>
      <c r="H93" s="70">
        <v>0.11</v>
      </c>
      <c r="I93" s="70">
        <v>0.11700000000000001</v>
      </c>
      <c r="J93" s="71">
        <v>0.12</v>
      </c>
      <c r="K93" s="72"/>
      <c r="L93" s="66"/>
      <c r="M93" s="66"/>
      <c r="N93" s="66"/>
      <c r="O93" s="66"/>
      <c r="P93" s="66"/>
      <c r="Q93" s="22"/>
      <c r="R93" s="22"/>
    </row>
    <row r="94" spans="1:18" s="67" customFormat="1" ht="12.75" customHeight="1" x14ac:dyDescent="0.25">
      <c r="A94" s="30"/>
      <c r="B94" s="22"/>
      <c r="C94" s="65"/>
      <c r="D94" s="66"/>
      <c r="E94" s="73">
        <v>3.5000000000000003E-2</v>
      </c>
      <c r="F94" s="74">
        <v>1543.7641144191168</v>
      </c>
      <c r="G94" s="74">
        <v>1359.2351094354167</v>
      </c>
      <c r="H94" s="74">
        <v>1290.7541003752829</v>
      </c>
      <c r="I94" s="74">
        <v>1150.5730251239447</v>
      </c>
      <c r="J94" s="75">
        <v>1097.6126709644495</v>
      </c>
      <c r="K94" s="76"/>
      <c r="L94" s="66"/>
      <c r="M94" s="66"/>
      <c r="N94" s="66"/>
      <c r="O94" s="66"/>
      <c r="P94" s="66"/>
      <c r="Q94" s="22"/>
      <c r="R94" s="22"/>
    </row>
    <row r="95" spans="1:18" s="67" customFormat="1" ht="12.75" customHeight="1" x14ac:dyDescent="0.25">
      <c r="A95" s="30"/>
      <c r="B95" s="22"/>
      <c r="C95" s="65"/>
      <c r="D95" s="77" t="s">
        <v>65</v>
      </c>
      <c r="E95" s="73">
        <v>0.04</v>
      </c>
      <c r="F95" s="74">
        <v>1675.0125521045263</v>
      </c>
      <c r="G95" s="74">
        <v>1463.2352142693335</v>
      </c>
      <c r="H95" s="74">
        <v>1385.5004506629136</v>
      </c>
      <c r="I95" s="74">
        <v>1227.8015666788053</v>
      </c>
      <c r="J95" s="75">
        <v>1168.715596048607</v>
      </c>
      <c r="K95" s="76"/>
      <c r="L95" s="78" t="s">
        <v>66</v>
      </c>
      <c r="M95" s="66"/>
      <c r="N95" s="66"/>
      <c r="O95" s="66"/>
      <c r="P95" s="66"/>
      <c r="Q95" s="22"/>
      <c r="R95" s="22"/>
    </row>
    <row r="96" spans="1:18" s="67" customFormat="1" ht="12.75" customHeight="1" x14ac:dyDescent="0.25">
      <c r="A96" s="30"/>
      <c r="B96" s="22"/>
      <c r="C96" s="65"/>
      <c r="D96" s="66"/>
      <c r="E96" s="73">
        <v>4.4999999999999998E-2</v>
      </c>
      <c r="F96" s="74">
        <v>1830.1243420963735</v>
      </c>
      <c r="G96" s="74">
        <v>1584.0095295603339</v>
      </c>
      <c r="H96" s="74">
        <v>1494.8231625332569</v>
      </c>
      <c r="I96" s="74">
        <v>1315.7562945607299</v>
      </c>
      <c r="J96" s="75">
        <v>1249.2989111439847</v>
      </c>
      <c r="K96" s="76"/>
      <c r="L96" s="66"/>
      <c r="M96" s="66"/>
      <c r="N96" s="66"/>
      <c r="O96" s="66"/>
      <c r="P96" s="66"/>
      <c r="Q96" s="22"/>
      <c r="R96" s="22"/>
    </row>
    <row r="97" spans="1:18" s="67" customFormat="1" ht="12.75" customHeight="1" x14ac:dyDescent="0.25">
      <c r="A97" s="30"/>
      <c r="B97" s="22"/>
      <c r="C97" s="65"/>
      <c r="D97" s="66"/>
      <c r="E97" s="73">
        <v>0.05</v>
      </c>
      <c r="F97" s="74">
        <v>2016.2584900865909</v>
      </c>
      <c r="G97" s="74">
        <v>1725.9723212181764</v>
      </c>
      <c r="H97" s="74">
        <v>1622.3663263819908</v>
      </c>
      <c r="I97" s="74">
        <v>1416.8385937683147</v>
      </c>
      <c r="J97" s="75">
        <v>1341.3941283958457</v>
      </c>
      <c r="K97" s="76"/>
      <c r="L97" s="66"/>
      <c r="M97" s="66"/>
      <c r="N97" s="66"/>
      <c r="O97" s="66"/>
      <c r="P97" s="66"/>
      <c r="Q97" s="22"/>
      <c r="R97" s="22"/>
    </row>
    <row r="98" spans="1:18" s="67" customFormat="1" ht="12.75" customHeight="1" thickBot="1" x14ac:dyDescent="0.3">
      <c r="A98" s="30"/>
      <c r="B98" s="22"/>
      <c r="C98" s="65"/>
      <c r="D98" s="66"/>
      <c r="E98" s="79">
        <v>5.5E-2</v>
      </c>
      <c r="F98" s="80">
        <v>2243.7557820746333</v>
      </c>
      <c r="G98" s="80">
        <v>1895.2356497332955</v>
      </c>
      <c r="H98" s="80">
        <v>1773.0991563850396</v>
      </c>
      <c r="I98" s="80">
        <v>1534.224489622284</v>
      </c>
      <c r="J98" s="81">
        <v>1447.6578406095305</v>
      </c>
      <c r="K98" s="76"/>
      <c r="L98" s="66"/>
      <c r="M98" s="66"/>
      <c r="N98" s="66"/>
      <c r="O98" s="66"/>
      <c r="P98" s="66"/>
      <c r="Q98" s="22"/>
      <c r="R98" s="22"/>
    </row>
    <row r="99" spans="1:18" s="67" customFormat="1" ht="12.75" customHeight="1" x14ac:dyDescent="0.25">
      <c r="A99" s="30"/>
      <c r="B99" s="22"/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22"/>
      <c r="R99" s="22"/>
    </row>
    <row r="100" spans="1:18" s="67" customFormat="1" ht="12.75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s="67" customFormat="1" ht="12.75" customHeight="1" x14ac:dyDescent="0.25">
      <c r="A101" s="30"/>
      <c r="B101" s="30"/>
      <c r="C101" s="30"/>
      <c r="D101" s="30"/>
      <c r="E101" s="86"/>
      <c r="F101" s="86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s="67" customFormat="1" ht="12.75" customHeight="1" x14ac:dyDescent="0.25">
      <c r="A102" s="30"/>
      <c r="B102" s="30"/>
      <c r="C102" s="30"/>
      <c r="D102" s="30"/>
      <c r="E102" s="86"/>
      <c r="F102" s="8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s="67" customFormat="1" ht="12.75" customHeight="1" x14ac:dyDescent="0.25">
      <c r="A103" s="30"/>
      <c r="B103" s="30"/>
      <c r="C103" s="30"/>
      <c r="D103" s="30"/>
      <c r="E103" s="82"/>
      <c r="F103" s="82"/>
      <c r="G103" s="83"/>
      <c r="H103" s="83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s="67" customFormat="1" ht="12.75" customHeight="1" x14ac:dyDescent="0.25">
      <c r="A104" s="30"/>
      <c r="B104" s="30"/>
      <c r="C104" s="30"/>
      <c r="D104" s="30"/>
      <c r="E104" s="83"/>
      <c r="F104" s="83"/>
      <c r="G104" s="83"/>
      <c r="H104" s="83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s="67" customFormat="1" ht="12.75" customHeight="1" x14ac:dyDescent="0.25">
      <c r="A105" s="30"/>
      <c r="B105" s="30"/>
      <c r="C105" s="30"/>
      <c r="D105" s="30"/>
      <c r="E105" s="83"/>
      <c r="F105" s="83"/>
      <c r="G105" s="83"/>
      <c r="H105" s="83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s="67" customFormat="1" ht="12.75" customHeight="1" x14ac:dyDescent="0.25">
      <c r="A106" s="30"/>
      <c r="B106" s="30"/>
      <c r="C106" s="30"/>
      <c r="D106" s="30"/>
      <c r="E106" s="83"/>
      <c r="F106" s="83"/>
      <c r="G106" s="83"/>
      <c r="H106" s="83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s="67" customFormat="1" ht="12.75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s="67" customFormat="1" ht="12.75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s="67" customFormat="1" ht="12.75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s="67" customFormat="1" ht="12.75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s="67" customFormat="1" ht="12.75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x14ac:dyDescent="0.25">
      <c r="A112" s="3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" x14ac:dyDescent="0.25">
      <c r="A113" s="67"/>
    </row>
    <row r="114" spans="1:1" x14ac:dyDescent="0.25">
      <c r="A114" s="67"/>
    </row>
    <row r="115" spans="1:1" x14ac:dyDescent="0.25">
      <c r="A115" s="67"/>
    </row>
    <row r="116" spans="1:1" x14ac:dyDescent="0.25">
      <c r="A116" s="67"/>
    </row>
    <row r="117" spans="1:1" x14ac:dyDescent="0.25">
      <c r="A117" s="67"/>
    </row>
    <row r="118" spans="1:1" x14ac:dyDescent="0.25">
      <c r="A118" s="6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Mistakes</vt:lpstr>
      <vt:lpstr>Without Mistakes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2015-09-25T10:39:27Z</dcterms:modified>
</cp:coreProperties>
</file>